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-120" yWindow="180" windowWidth="20730" windowHeight="11460" activeTab="0"/>
  </bookViews>
  <sheets>
    <sheet name="Pepper" sheetId="1" r:id="rId1"/>
    <sheet name="Cinnamon" sheetId="2" r:id="rId2"/>
    <sheet name="Coffee" sheetId="3" r:id="rId3"/>
    <sheet name="Cocoa" sheetId="4" r:id="rId4"/>
    <sheet name="Cardamom" sheetId="5" r:id="rId5"/>
    <sheet name="Clove" sheetId="6" r:id="rId6"/>
    <sheet name="Nutmeg" sheetId="7" r:id="rId7"/>
    <sheet name="Betel" sheetId="8" r:id="rId8"/>
    <sheet name="Areca nut" sheetId="9" r:id="rId9"/>
    <sheet name="Vanilla" sheetId="10" r:id="rId10"/>
    <sheet name="Citronella" sheetId="11" r:id="rId11"/>
    <sheet name="Ginger (Chineese)" sheetId="12" r:id="rId12"/>
    <sheet name="Ginger (Rangoon)" sheetId="13" r:id="rId13"/>
    <sheet name="Turmeric" sheetId="14" r:id="rId14"/>
  </sheets>
  <definedNames>
    <definedName name="_xlnm.Print_Area" localSheetId="8">'Areca nut'!$A$1:$O$40</definedName>
    <definedName name="_xlnm.Print_Area" localSheetId="7">Betel!$A$1:$E$50</definedName>
    <definedName name="_xlnm.Print_Area" localSheetId="4">Cardamom!$A$1:$M$39</definedName>
    <definedName name="_xlnm.Print_Area" localSheetId="1">Cinnamon!$A$1:$M$62</definedName>
    <definedName name="_xlnm.Print_Area" localSheetId="10">Citronella!$A$1:$J$34</definedName>
    <definedName name="_xlnm.Print_Area" localSheetId="5">Clove!$A$1:$P$37</definedName>
    <definedName name="_xlnm.Print_Area" localSheetId="3">Cocoa!$A$1:$N$41</definedName>
    <definedName name="_xlnm.Print_Area" localSheetId="2">Coffee!$A$1:$O$44</definedName>
    <definedName name="_xlnm.Print_Area" localSheetId="11">'Ginger (Chineese)'!$A$1:$F$52</definedName>
    <definedName name="_xlnm.Print_Area" localSheetId="12">'Ginger (Rangoon)'!$A$1:$F$53</definedName>
    <definedName name="_xlnm.Print_Area" localSheetId="6">Nutmeg!$B$2:$Q$47</definedName>
    <definedName name="_xlnm.Print_Area" localSheetId="0">Pepper!$A$1:$M$65</definedName>
    <definedName name="_xlnm.Print_Area" localSheetId="13">Turmeric!$A$1:$E$42</definedName>
    <definedName name="_xlnm.Print_Area" localSheetId="9">Vanilla!$A$1:$K$50</definedName>
  </definedNames>
  <calcPr calcId="144525"/>
</workbook>
</file>

<file path=xl/sharedStrings.xml><?xml version="1.0" encoding="utf-8"?>
<sst xmlns="http://schemas.openxmlformats.org/spreadsheetml/2006/main" uniqueCount="531" count="531">
  <si>
    <t>Expected total dry yield</t>
  </si>
  <si>
    <t>Labor</t>
  </si>
  <si>
    <t>Units</t>
  </si>
  <si>
    <t>Land clearing &amp; basic land preparation</t>
  </si>
  <si>
    <t>Harvesting and cleaning tubers</t>
  </si>
  <si>
    <t>Other activities</t>
  </si>
  <si>
    <t xml:space="preserve">Total labor </t>
  </si>
  <si>
    <t>Total material cost</t>
  </si>
  <si>
    <t>Rs./kg</t>
  </si>
  <si>
    <t>Net Benefis</t>
  </si>
  <si>
    <t>Cost of Production per kg</t>
  </si>
  <si>
    <t>Fertilizer application</t>
  </si>
  <si>
    <t>Rs.</t>
  </si>
  <si>
    <t>Total variable cost</t>
  </si>
  <si>
    <t>Harvesting</t>
  </si>
  <si>
    <t>Unit</t>
  </si>
  <si>
    <t>Md/Ha</t>
  </si>
  <si>
    <t>Rs/Ha</t>
  </si>
  <si>
    <t>Returns</t>
  </si>
  <si>
    <t>Net Benefits</t>
  </si>
  <si>
    <t>Train pepper vines</t>
  </si>
  <si>
    <t>Plant protection</t>
  </si>
  <si>
    <t>Variable Cost</t>
  </si>
  <si>
    <t>Weeding and Slashing</t>
  </si>
  <si>
    <t>Glyricidia pruning and application of loppings</t>
  </si>
  <si>
    <t>Supplies</t>
  </si>
  <si>
    <t>Rs./Ha</t>
  </si>
  <si>
    <t>Total  variable cost</t>
  </si>
  <si>
    <t xml:space="preserve">Weeding </t>
  </si>
  <si>
    <t>Mds./ac</t>
  </si>
  <si>
    <t>Mds./ha.</t>
  </si>
  <si>
    <t>Mds./ac.</t>
  </si>
  <si>
    <t>Total material &amp; Other cost</t>
  </si>
  <si>
    <t>Pegging &amp; Holing</t>
  </si>
  <si>
    <t>Total Labor per acre</t>
  </si>
  <si>
    <t>Total Labor per hectare</t>
  </si>
  <si>
    <t>Rs./ha.</t>
  </si>
  <si>
    <t>Kg/ha.</t>
  </si>
  <si>
    <t>Rs./ac.</t>
  </si>
  <si>
    <t>kg./ha.</t>
  </si>
  <si>
    <t>Fertilizer mixture</t>
  </si>
  <si>
    <t>Kg./Ha.</t>
  </si>
  <si>
    <t>After care &amp; Infilling</t>
  </si>
  <si>
    <t>Crop Pruning/cleaning bushes/earthing up</t>
  </si>
  <si>
    <t>Basic tools</t>
  </si>
  <si>
    <t>Preapration of seeds (cleaning and cutting into pieces, seed treatment), planting &amp; application of basal fertilizer mixture</t>
  </si>
  <si>
    <t xml:space="preserve">Application of agro chemicals*  </t>
  </si>
  <si>
    <t xml:space="preserve">Mulching material </t>
  </si>
  <si>
    <t xml:space="preserve">Agro chemicals* </t>
  </si>
  <si>
    <t>Rs./kg.</t>
  </si>
  <si>
    <t>Cleaning furrows and earthing up ( 2 times)</t>
  </si>
  <si>
    <t>Kg/ac.</t>
  </si>
  <si>
    <t>Kg./ac.</t>
  </si>
  <si>
    <t>Rs./ac</t>
  </si>
  <si>
    <t>Harvesting &amp; cleaning tubers</t>
  </si>
  <si>
    <t>Basic land preparation (tractor charges)</t>
  </si>
  <si>
    <t xml:space="preserve">Application of chemical fertilizer </t>
  </si>
  <si>
    <t>Transport &amp; other</t>
  </si>
  <si>
    <t xml:space="preserve">Transport &amp; other </t>
  </si>
  <si>
    <t>COP/kg</t>
  </si>
  <si>
    <t>Pay back period</t>
  </si>
  <si>
    <t>Plant pepper</t>
  </si>
  <si>
    <t>Infilling and after care</t>
  </si>
  <si>
    <t>App. Manure &amp; Filling holes</t>
  </si>
  <si>
    <t>Plant glyricidia</t>
  </si>
  <si>
    <t>Spacing - 8'x8'</t>
  </si>
  <si>
    <t>4 yr</t>
  </si>
  <si>
    <t>No. of plants/ha - 1700(680/ac)</t>
  </si>
  <si>
    <t>Plant cinnamon</t>
  </si>
  <si>
    <t xml:space="preserve">App. Manure, Filling holes </t>
  </si>
  <si>
    <t>1 yr</t>
  </si>
  <si>
    <t>2 yr</t>
  </si>
  <si>
    <t>3 yr</t>
  </si>
  <si>
    <t>5 yr</t>
  </si>
  <si>
    <t>6 yr</t>
  </si>
  <si>
    <t>7 yr</t>
  </si>
  <si>
    <t>8 yr</t>
  </si>
  <si>
    <t>9 yr</t>
  </si>
  <si>
    <t>No. of plants ha - 9000 (3600/ac.)</t>
  </si>
  <si>
    <t>Mulching and Temp. Shading</t>
  </si>
  <si>
    <t>Mulching &amp; temprary shading</t>
  </si>
  <si>
    <t>Mulching (2 times)</t>
  </si>
  <si>
    <t>Crop pruning/plant sanitation</t>
  </si>
  <si>
    <t>Drying</t>
  </si>
  <si>
    <t xml:space="preserve">Spacing - 4'x3' </t>
  </si>
  <si>
    <t>Threshing</t>
  </si>
  <si>
    <t>Mulching material</t>
  </si>
  <si>
    <t>Application of chemical fertilizer</t>
  </si>
  <si>
    <r>
      <t>Fertilizer ( Urea 52kg, P</t>
    </r>
    <r>
      <rPr>
        <vertAlign val="subscript"/>
        <sz val="10"/>
        <rFont val="Arial"/>
      </rPr>
      <t>2</t>
    </r>
    <r>
      <rPr>
        <sz val="10"/>
        <rFont val="Arial"/>
      </rPr>
      <t>O</t>
    </r>
    <r>
      <rPr>
        <vertAlign val="subscript"/>
        <sz val="10"/>
        <rFont val="Arial"/>
      </rPr>
      <t>5</t>
    </r>
    <r>
      <rPr>
        <sz val="10"/>
        <rFont val="Arial"/>
      </rPr>
      <t xml:space="preserve"> 40kg, MOP 80kg)</t>
    </r>
  </si>
  <si>
    <t>Mulching material (paddy straw/Ash of paddy husks)</t>
  </si>
  <si>
    <t xml:space="preserve">Secondary Land preparation, incooperation of dolomite/organic matter, preparation of beds </t>
  </si>
  <si>
    <t>Mulching ( 3 times)</t>
  </si>
  <si>
    <t>Weeding ( 3 times)</t>
  </si>
  <si>
    <t>Weeding  (2 times)</t>
  </si>
  <si>
    <t>Fertilizer (Urea 65.6kg, RP 40kg, MOP 33.6kg)</t>
  </si>
  <si>
    <t>20yr onwards</t>
  </si>
  <si>
    <t xml:space="preserve">Labor </t>
  </si>
  <si>
    <t>Notes:</t>
  </si>
  <si>
    <t xml:space="preserve">Total gross benefits </t>
  </si>
  <si>
    <t>6 yrs</t>
  </si>
  <si>
    <t>Per acre</t>
  </si>
  <si>
    <t>Per ha.</t>
  </si>
  <si>
    <t>Md/Ha.</t>
  </si>
  <si>
    <t>P.T.O</t>
  </si>
  <si>
    <t>Supplies &amp; Other</t>
  </si>
  <si>
    <t>Per hectare</t>
  </si>
  <si>
    <t>Cleaning forrows and earthing up (2 times)</t>
  </si>
  <si>
    <t>Average Raw Yield (seed:yield ratio 1:12)**</t>
  </si>
  <si>
    <t>Kg./ha./Yr</t>
  </si>
  <si>
    <t>Fertilizer mixture (N:P:K:Mg-4:5:3:1 in two doses)</t>
  </si>
  <si>
    <t>Kg/Ha/Yr.</t>
  </si>
  <si>
    <t>Expected yield ( dry kg/ bush/yr)</t>
  </si>
  <si>
    <t>Md/ac.</t>
  </si>
  <si>
    <t>10 -19yrs</t>
  </si>
  <si>
    <t>Notes</t>
  </si>
  <si>
    <t>Net yield for farmer (after peel. cost)</t>
  </si>
  <si>
    <t>10-19yrs</t>
  </si>
  <si>
    <t xml:space="preserve">         but after fruit setting occasional rainfall is beneficial.</t>
  </si>
  <si>
    <t xml:space="preserve">    could be reduced by applying proper management practices such as pruining shade on time, mulching, application of fertilizer, and soil conservation</t>
  </si>
  <si>
    <t xml:space="preserve">     development and reduce average yield per vine</t>
  </si>
  <si>
    <t xml:space="preserve">      but death of bushes may occur due to pest and disease problems</t>
  </si>
  <si>
    <t xml:space="preserve">            drastically decline yield</t>
  </si>
  <si>
    <t>Expected average yield ( dry kg/ vine/yr)</t>
  </si>
  <si>
    <t>20-40yrs</t>
  </si>
  <si>
    <t xml:space="preserve">Returns </t>
  </si>
  <si>
    <t xml:space="preserve">               used for ginger cultivation repeatedly.</t>
  </si>
  <si>
    <t>Secondary Land preparation, Incooperation of dolomite/organic manure, Preperation of beds           ( without tractor charges)</t>
  </si>
  <si>
    <t>** Average yield in an average field under recommended management practices</t>
  </si>
  <si>
    <t>* Cost of agro chemicals could be high or low. If highly infected it is recommended to abondon field for a few years</t>
  </si>
  <si>
    <t>1) Use of agrochemicals depends on the pest &amp; disease conditions of the cultivation</t>
  </si>
  <si>
    <t>Expected total dry yield/yr</t>
  </si>
  <si>
    <t>Soil Conservation &amp; maintenance</t>
  </si>
  <si>
    <t xml:space="preserve">1) Number of labor days for holing, basic land preparation and soil conservation would vary with the area of cultivation and site conditions. </t>
  </si>
  <si>
    <t>No. of yielding bushes/ha. (max. 95% planting Std.)</t>
  </si>
  <si>
    <t>Agro chem. transport &amp; other</t>
  </si>
  <si>
    <t>No.of good bearing vines/ha@  max.   90% -75% plant. Std.</t>
  </si>
  <si>
    <t>Returns from the cinnamon sticks @ max. 2 sticks/bush, Rs.5/stick</t>
  </si>
  <si>
    <t>1) Opportunity costs of land and capital were not included</t>
  </si>
  <si>
    <t xml:space="preserve">Preapration of seeds (cleaning and cutting into pieces, seed treatment) planting &amp; basal fertilizer application </t>
  </si>
  <si>
    <t>Average Raw Yield (seed:yield ratio 1:15)**</t>
  </si>
  <si>
    <t>Glyricidia poles 1700 nos. @ Rs. 20/pole</t>
  </si>
  <si>
    <t>Chemicals for Seed treatment (1kg@Rs1800/500g)</t>
  </si>
  <si>
    <t>Chemicals for Seed treatment (1kg@rs.1500/500kg)</t>
  </si>
  <si>
    <t>Labor cost @ Rs.1500/md</t>
  </si>
  <si>
    <t>Total Labor cost @ Rs.1500/Md</t>
  </si>
  <si>
    <t>Laor cost @ Rs.1500/md</t>
  </si>
  <si>
    <t xml:space="preserve">                  than Chinese variety.</t>
  </si>
  <si>
    <t xml:space="preserve">                  than Chinese variety. </t>
  </si>
  <si>
    <t>9 -15yrs</t>
  </si>
  <si>
    <t>19-25yrs</t>
  </si>
  <si>
    <t>Md./ac.</t>
  </si>
  <si>
    <t>Plant Shade trees</t>
  </si>
  <si>
    <t xml:space="preserve">App. Manure &amp;  Filling holes </t>
  </si>
  <si>
    <t>Plant coffee</t>
  </si>
  <si>
    <t>Mulching &amp;  temp. shading</t>
  </si>
  <si>
    <t>Weeding &amp; mulching</t>
  </si>
  <si>
    <t>Removal of water shoots &amp; plant sanitation</t>
  </si>
  <si>
    <t>Shade control</t>
  </si>
  <si>
    <t>Coffee tree prunning</t>
  </si>
  <si>
    <t>Process/drying</t>
  </si>
  <si>
    <t>Cost of shade trees*</t>
  </si>
  <si>
    <t>Kg/Ha</t>
  </si>
  <si>
    <t>Expected yield(clean coffee kg/ tree/yr)</t>
  </si>
  <si>
    <t>No.of fruiting trees/ha (max. 90% planting Std.)</t>
  </si>
  <si>
    <t xml:space="preserve">Expected total yield (clean coffee) </t>
  </si>
  <si>
    <t>9 yrs</t>
  </si>
  <si>
    <t>No. of plants/ha - 3000 (1200/ac.)</t>
  </si>
  <si>
    <t>Spacing -  6'x6'</t>
  </si>
  <si>
    <t xml:space="preserve">       There is a high demand but supply is not adequate. Such coffee fetches Rs. 700-800/kg of cleean coffee</t>
  </si>
  <si>
    <t xml:space="preserve">         Because of BB problem about 10-12 kg of green coffee may need to make a kg of clean coffee ( usually need 5-6kg green coffee)</t>
  </si>
  <si>
    <t>7) Opportunity costs of land and capital were not included</t>
  </si>
  <si>
    <t>2yr</t>
  </si>
  <si>
    <t>3yr</t>
  </si>
  <si>
    <t>4yr</t>
  </si>
  <si>
    <t>5yr</t>
  </si>
  <si>
    <t>6yr</t>
  </si>
  <si>
    <t>7yr</t>
  </si>
  <si>
    <t>8yr</t>
  </si>
  <si>
    <t>9yr</t>
  </si>
  <si>
    <t>10-20 yrs</t>
  </si>
  <si>
    <t>21 -40yrs</t>
  </si>
  <si>
    <t>Land clearing and basic land preparation</t>
  </si>
  <si>
    <t>Soil Conservation</t>
  </si>
  <si>
    <t>Pegging and Holing</t>
  </si>
  <si>
    <t>Plant cocoa</t>
  </si>
  <si>
    <t>Mulching &amp; temp. shading</t>
  </si>
  <si>
    <t>Removal of water shoots &amp; Plant sanitation</t>
  </si>
  <si>
    <t>Pest/Disease protection</t>
  </si>
  <si>
    <t>Protection from mamalian pests</t>
  </si>
  <si>
    <t>Harvesting &amp; removal of seeds</t>
  </si>
  <si>
    <t>Processing / drying</t>
  </si>
  <si>
    <t>Md/ha</t>
  </si>
  <si>
    <t>Agro chem. Transport &amp; other</t>
  </si>
  <si>
    <t>No. of pods/tree</t>
  </si>
  <si>
    <t>No. of yielding trees/ha ( max. 90% plt. Std.)</t>
  </si>
  <si>
    <t>Expected bean yield @ 30pods/kg dry bean</t>
  </si>
  <si>
    <t>Kg./ha.</t>
  </si>
  <si>
    <t>No. of plants/ha - 1100 (440/ac.)</t>
  </si>
  <si>
    <t>Spacing - 10'x10'</t>
  </si>
  <si>
    <t xml:space="preserve">1) Number of labor days for holing and basic land preparation would vary with the area of cultivation and soil conditions. </t>
  </si>
  <si>
    <t xml:space="preserve"> intercrop due to declining profit margins in mon crop situation</t>
  </si>
  <si>
    <t>Labor cost @ Rs.1500/Md</t>
  </si>
  <si>
    <t>10-20yrs</t>
  </si>
  <si>
    <t>21-30 yrs</t>
  </si>
  <si>
    <t>Md/ac</t>
  </si>
  <si>
    <t>Plant suckers and mulching</t>
  </si>
  <si>
    <t>Weeding and plant sanitation</t>
  </si>
  <si>
    <t>Procssing &amp; Grading</t>
  </si>
  <si>
    <t>Md/ha.</t>
  </si>
  <si>
    <t>Agro chem. &amp; other*</t>
  </si>
  <si>
    <t>Requirements for Dryers</t>
  </si>
  <si>
    <t>Expected yield/bush</t>
  </si>
  <si>
    <t>Kg.</t>
  </si>
  <si>
    <t>No. of yielding bushes</t>
  </si>
  <si>
    <t>Expected yield</t>
  </si>
  <si>
    <t>No. of plants/ha - 2000 (800/ac.)</t>
  </si>
  <si>
    <t>Spacing - 8' x 6'</t>
  </si>
  <si>
    <t xml:space="preserve">         natural forest habitats no management prsctices can be appled to those estates. Yield levels are low and difficult to get information about actual  </t>
  </si>
  <si>
    <t xml:space="preserve">        collected from farmers and field officers.</t>
  </si>
  <si>
    <t xml:space="preserve">     All new cardamom cultivations have very high probability for getting thrips problem and only available solution is spraying chemicals.</t>
  </si>
  <si>
    <t>4) Opportunity costs of land and capital were not included</t>
  </si>
  <si>
    <t>Variable cost</t>
  </si>
  <si>
    <t>10yr</t>
  </si>
  <si>
    <t>11-15yrs</t>
  </si>
  <si>
    <t>16-20yrs</t>
  </si>
  <si>
    <t>21-30yrs</t>
  </si>
  <si>
    <t>30-60yrs</t>
  </si>
  <si>
    <t>Labour</t>
  </si>
  <si>
    <t>Land clearing and basic land preparatipon</t>
  </si>
  <si>
    <t xml:space="preserve">Pegging &amp; Holling </t>
  </si>
  <si>
    <t>Application of manure &amp; filling holes</t>
  </si>
  <si>
    <t>Plant nutmeg</t>
  </si>
  <si>
    <t>Mulching /establish temp. shade/ protection from animals</t>
  </si>
  <si>
    <t xml:space="preserve">After care &amp; Infilling </t>
  </si>
  <si>
    <t>Weeding/ mulching</t>
  </si>
  <si>
    <t>Crop sanitary practices</t>
  </si>
  <si>
    <t>Drying (nutmeg/mace)</t>
  </si>
  <si>
    <t>Total labor per acre</t>
  </si>
  <si>
    <t>Total labor per hectare</t>
  </si>
  <si>
    <t>Plants Cost, 250 plants/ha @ 150Rs/plant</t>
  </si>
  <si>
    <t>Rs./ha</t>
  </si>
  <si>
    <t>No. of fruits/tree</t>
  </si>
  <si>
    <t>Expected average yield of nutmeg(@ 200 seeds/dry Kg.)</t>
  </si>
  <si>
    <t>Kg./ha</t>
  </si>
  <si>
    <t>Expected yield /mace</t>
  </si>
  <si>
    <t>Total Gross benefits</t>
  </si>
  <si>
    <t>Net benefits</t>
  </si>
  <si>
    <t>COP/kg nutmeg</t>
  </si>
  <si>
    <t>No. of plants/ha - 250 (100/ac.)</t>
  </si>
  <si>
    <t>Spacing - 20'x20'</t>
  </si>
  <si>
    <t>* Nutmeg exibits highly varying yielding pattern based on the female genetic character of each tree. Therefore very high yielding trees, high yielding trees, average, low and very low yielding trees</t>
  </si>
  <si>
    <t>exists in same cultivation except male trees.</t>
  </si>
  <si>
    <t>Labor cost@ 1500 Rs/Md</t>
  </si>
  <si>
    <t>31-40yrs</t>
  </si>
  <si>
    <t>Plant temp. shading</t>
  </si>
  <si>
    <t xml:space="preserve">Pegging and Holling </t>
  </si>
  <si>
    <t>Application of FYM &amp; Plant clove</t>
  </si>
  <si>
    <t>Slashing/weeding &amp; after care</t>
  </si>
  <si>
    <t>Total labour per acre</t>
  </si>
  <si>
    <t>Total labour per hectare              ( except harvesting and processing)</t>
  </si>
  <si>
    <t>Kg./ha./yr.</t>
  </si>
  <si>
    <t>Agro Chem. Tansport  &amp; other</t>
  </si>
  <si>
    <t>Expected Average yield (dry kg/ tree/yr)</t>
  </si>
  <si>
    <t xml:space="preserve">Expected total dry yield </t>
  </si>
  <si>
    <t>COP/Kg</t>
  </si>
  <si>
    <t xml:space="preserve">Pay back period </t>
  </si>
  <si>
    <t>Spacing- 20' x 20'</t>
  </si>
  <si>
    <t>**In a clove cultivation some trees give high yield, some give an average yield, some give very low yield and a few trees do not bear at all. This situation is due to inherited reasons as well</t>
  </si>
  <si>
    <t xml:space="preserve">   management conditions of the cultivation. As farmers view about 10-30% are in low or no yield catogery. In best yielding years majority of trees give high yield </t>
  </si>
  <si>
    <t>10 yr</t>
  </si>
  <si>
    <t xml:space="preserve">                    In some years yield can be much higher than the expected yield figure mentioned above and in some years no significant harvest could be obtained.</t>
  </si>
  <si>
    <t xml:space="preserve">          field level data and information provided by the farmers as well as research and extension staff.</t>
  </si>
  <si>
    <t>Total labour cost @ Rs.1500/md.</t>
  </si>
  <si>
    <t>Preparation of Beds ( except basic land preparation charges)</t>
  </si>
  <si>
    <t>Md/1000 stakes/yr.</t>
  </si>
  <si>
    <t>Preparation of planting material/plant betel/mulching and prepare shade</t>
  </si>
  <si>
    <t>Change shade ( 2 times)</t>
  </si>
  <si>
    <t>Basic fertilizer application (incoperation of chemical fertilizer and apply organic manure)</t>
  </si>
  <si>
    <t xml:space="preserve">Establish stakes </t>
  </si>
  <si>
    <t>Tieing up vines to stakes ( 4 times)</t>
  </si>
  <si>
    <t>Establish structures ("katta ini", "haras ini" and "pandalama")</t>
  </si>
  <si>
    <t>Maintenance of structures</t>
  </si>
  <si>
    <t>Irrigation (pumped water/every other day/8 months )</t>
  </si>
  <si>
    <t>Apply inorganic fertilizer (once in 21 days)</t>
  </si>
  <si>
    <t>Apply organic fertilizer ( 3 times/yr)</t>
  </si>
  <si>
    <t>Weed control</t>
  </si>
  <si>
    <t>Other maintenance activities of beds &amp; vines</t>
  </si>
  <si>
    <t>Pest and disease control (without BLB situation)</t>
  </si>
  <si>
    <t>Harvesting (@800 leaves/hr, 6 hrs./Md.)</t>
  </si>
  <si>
    <t xml:space="preserve">Grading and packing (1500 leaves/hr, 7hrs/Md.) </t>
  </si>
  <si>
    <t>Other</t>
  </si>
  <si>
    <t>Total Labor days</t>
  </si>
  <si>
    <t>Rs./1000 stakes/yr.</t>
  </si>
  <si>
    <t>Rs./1000 stakes</t>
  </si>
  <si>
    <t>Coir ropes/binding vires etc.</t>
  </si>
  <si>
    <t>Shade/mulching material</t>
  </si>
  <si>
    <t>Agro chemicals (without BLB situation)</t>
  </si>
  <si>
    <t>Total supplies</t>
  </si>
  <si>
    <t>Machinery charges for basic land preparation and making forrows</t>
  </si>
  <si>
    <t>Rs./Area of 1000 stakes</t>
  </si>
  <si>
    <t>Electricity charges for irrigation</t>
  </si>
  <si>
    <t>Rs./1000 stakes/yr</t>
  </si>
  <si>
    <t>Total Other</t>
  </si>
  <si>
    <t>Ave. no.of leaves/1000 stakes/turn</t>
  </si>
  <si>
    <t>Total leaves/yr (9 turns/1st yr, 15 turns/2nd &amp; 3rdyr)</t>
  </si>
  <si>
    <t>No./1000 stakes/yr.</t>
  </si>
  <si>
    <t>Rs./1000 leaves</t>
  </si>
  <si>
    <t>Gross Income</t>
  </si>
  <si>
    <t>Net Income</t>
  </si>
  <si>
    <t>COP/1000 leaves</t>
  </si>
  <si>
    <t xml:space="preserve">* However usually in betel,  farmer and family members are invoved in most of the cultivation practices, </t>
  </si>
  <si>
    <t xml:space="preserve"> harvesting and grading to avoid BLB infection. Only a few regular workers are hired for essential practices.      </t>
  </si>
  <si>
    <t xml:space="preserve">1)  Although total labor days are costed in the analysis larger part of cultivation practices of betel is done by family </t>
  </si>
  <si>
    <t xml:space="preserve">       members and a few of regular workers are hired only for essential actvities</t>
  </si>
  <si>
    <t xml:space="preserve">       distroyed within first 2-3 yrs due to Betel Leaf Blight disease</t>
  </si>
  <si>
    <t xml:space="preserve">       the end of  the first year  </t>
  </si>
  <si>
    <t xml:space="preserve">      Farmers are reluctant to invest for large scale cultivations in fear of distruction of cultivations due to BLB</t>
  </si>
  <si>
    <t>Total Labor Cost@Rs.1500/day</t>
  </si>
  <si>
    <t>Stakes for both "ini" and "haras ini" @ 1200 stakes /Rs.30/stake</t>
  </si>
  <si>
    <t>Support stakes ("katta ini") No. 200 @ Rs.40/stake</t>
  </si>
  <si>
    <t>20-25yrs</t>
  </si>
  <si>
    <t>Pegging &amp; Holling</t>
  </si>
  <si>
    <t>Establish temporary shade</t>
  </si>
  <si>
    <t>Application of org. manure &amp; planting</t>
  </si>
  <si>
    <t xml:space="preserve">Weeding / Slashing </t>
  </si>
  <si>
    <t>Separation of nuts &amp; cleaning</t>
  </si>
  <si>
    <t>Drying &amp; storage</t>
  </si>
  <si>
    <t>Harvesting cost @ Rs. 50/ tree/season, 2 seasons</t>
  </si>
  <si>
    <t>Fertilizer  mixture</t>
  </si>
  <si>
    <t>Agro Chem. &amp; other (handling)</t>
  </si>
  <si>
    <t>No. of yielding trees (90% plt. Std at 10th yr.)</t>
  </si>
  <si>
    <t>bunches/tree/yr</t>
  </si>
  <si>
    <t>seeds/bunch</t>
  </si>
  <si>
    <t>Expected dry yield (@200 fresh nuts/ dry kg</t>
  </si>
  <si>
    <t>Pay back period - 10 yrs</t>
  </si>
  <si>
    <t>No. of plants/ha - 1700 (700/ac.)</t>
  </si>
  <si>
    <t>Spacing - 8' x 8'</t>
  </si>
  <si>
    <t xml:space="preserve">              In India arecanut is cultivated as estates and coffee and pepper are intercropped with arecanut.</t>
  </si>
  <si>
    <t>Total labour cost @ Rs.1500/Md.</t>
  </si>
  <si>
    <t>8-14yrs</t>
  </si>
  <si>
    <t>15-20 yrs</t>
  </si>
  <si>
    <t>1. Variable Costs</t>
  </si>
  <si>
    <t xml:space="preserve">Labour </t>
  </si>
  <si>
    <t>Land Clearing &amp; basic land preparation</t>
  </si>
  <si>
    <t>Md/Ac</t>
  </si>
  <si>
    <t xml:space="preserve">Soil Conservation </t>
  </si>
  <si>
    <t>Establishment of support trees/ support structure</t>
  </si>
  <si>
    <t xml:space="preserve">Preparation of beds/land for planting </t>
  </si>
  <si>
    <t>Preparation of planting material &amp; planting of vanilla</t>
  </si>
  <si>
    <t>Initial Mulching</t>
  </si>
  <si>
    <t>Training of vines</t>
  </si>
  <si>
    <t xml:space="preserve">Pruning support trees /application of loppings &amp; pruning of vanila vines </t>
  </si>
  <si>
    <t>Weeding/slashing, collection of mulching material &amp; periodic renewal of mulch</t>
  </si>
  <si>
    <t xml:space="preserve"> Hand pollination</t>
  </si>
  <si>
    <t>Rs//Ha</t>
  </si>
  <si>
    <t>Cost of mulching material*</t>
  </si>
  <si>
    <t>Agro chem. &amp; other</t>
  </si>
  <si>
    <t>Total Material cost</t>
  </si>
  <si>
    <t>Total Variable Cost</t>
  </si>
  <si>
    <t>Yield (raw vanilla)</t>
  </si>
  <si>
    <t>5 yrs</t>
  </si>
  <si>
    <t>Spacing-8' x 5'</t>
  </si>
  <si>
    <t xml:space="preserve">1) Vanilla in Sri Lanka is largely cultivated at small scale or as home garden crop. Collection of data on management, </t>
  </si>
  <si>
    <t xml:space="preserve">        pollination and harvesting at large scale was difficult.The above crop budget was prepared using scattered field level data</t>
  </si>
  <si>
    <t xml:space="preserve">        and information collected fro farmers and research and extension staff.</t>
  </si>
  <si>
    <t>Labour cost @ Rs. 1500/Md</t>
  </si>
  <si>
    <t>Yr 1</t>
  </si>
  <si>
    <t>Yr 2</t>
  </si>
  <si>
    <t>Yr 3</t>
  </si>
  <si>
    <t>Yr 4</t>
  </si>
  <si>
    <t>Yr 5-10</t>
  </si>
  <si>
    <t>Yr 11-20</t>
  </si>
  <si>
    <t>Yrs 20-30</t>
  </si>
  <si>
    <t>Soil conservation</t>
  </si>
  <si>
    <t xml:space="preserve">Land clearing and Basic land Preparation </t>
  </si>
  <si>
    <t>Planting</t>
  </si>
  <si>
    <t>Fertilizer Application</t>
  </si>
  <si>
    <t>Weeding &amp; earthing up</t>
  </si>
  <si>
    <t>Harvesting grasses &amp; bundling</t>
  </si>
  <si>
    <t>Total Labour days per acre</t>
  </si>
  <si>
    <t>Total Labour days per ha.</t>
  </si>
  <si>
    <t>Transport cost</t>
  </si>
  <si>
    <t>Total variable Cost</t>
  </si>
  <si>
    <t xml:space="preserve">Total grass yield </t>
  </si>
  <si>
    <t>Kg/ha</t>
  </si>
  <si>
    <t>Total Oil Yield (1%)</t>
  </si>
  <si>
    <t>Net oil yield for the farmer</t>
  </si>
  <si>
    <t>Net Benefit</t>
  </si>
  <si>
    <t>Spacing - 2' x 2'</t>
  </si>
  <si>
    <t>Pay back period -</t>
  </si>
  <si>
    <t>1) Citronella is mainly grown in Ratnapura and Hambantota districts and yield potential is different in these two districts</t>
  </si>
  <si>
    <t>Labour cost @ Rs.1500/Md.</t>
  </si>
  <si>
    <t>Pandalam sticks@ 4 bundles of 25, Rs.2000/bundle</t>
  </si>
  <si>
    <t>COP per Kg</t>
  </si>
  <si>
    <t>Peeling Cost @ 1/2 of the yield</t>
  </si>
  <si>
    <t>Net Benefits @ 1/2 peel cost</t>
  </si>
  <si>
    <t>Extra Labor charges for peeling @ Rs. 15/kg ( in addition to 1/2 of yield)</t>
  </si>
  <si>
    <t>Cost of harvesting, cleaning &amp; drying (40 % of gross benefits)</t>
  </si>
  <si>
    <t>Average Raw Yield (1: 12  seed:yield))</t>
  </si>
  <si>
    <t>Oil paid as Distill unit charges    (1 bottle:6 bottles)</t>
  </si>
  <si>
    <t>Total labor cost (@ Rs.1500/Md.)</t>
  </si>
  <si>
    <t xml:space="preserve">3) By 20th year onwards yield may increase but number of vines will decrese due to death of vines  </t>
  </si>
  <si>
    <t>5)  Yield patterns largely vary with climatic factors.Excess rainfall as well as drought affects badly on fruit setting. Flowering and fruit setting needs a clear dry period</t>
  </si>
  <si>
    <t xml:space="preserve">6) Pepper could exhibit alternate bearing patterns with 3 to 4 year cycles. Occasional boom harvest would be followed by 2-3 poor harvest years. Howver this yield variation </t>
  </si>
  <si>
    <t>7) Average yield was computed considering high yielding and low yielding situations of vines. Some vines could give 2-3kg/yr but others may give 0.5-1kg./yr.</t>
  </si>
  <si>
    <t>8) Poor management conditions would prolong the first harvest as well as the maturity stage of crop. It would also cause to poor canopy</t>
  </si>
  <si>
    <t>9) Opportunity cost of land and capital were not included</t>
  </si>
  <si>
    <t>2) Net benefit can be further increase by using methods to reduce labour cost.</t>
  </si>
  <si>
    <t>3) during 9-15 years yield reflects the average for the period</t>
  </si>
  <si>
    <t>4) Usually coffee yield is declining around 15th year and collar pruning should be done during 15-20 years.</t>
  </si>
  <si>
    <t>5) Average yield could increase under correct management conditions and soils and environment conditions</t>
  </si>
  <si>
    <t>6) Sri Lankan arbica coffee is gaining a world reputation as one of the best coffee in the world and demaned for well processed high quality clean coffe has many niche markets</t>
  </si>
  <si>
    <t>7) Majority of coffee plantations in Sri Lanka has coffee berry borer problem and systamatic cultivations should pay attention to control pest by IPM and chemical methods.</t>
  </si>
  <si>
    <t>8 Opportunity costs of land and capital were not included</t>
  </si>
  <si>
    <t>3)  Additional income can be obtained from cultivating Banana in first two years</t>
  </si>
  <si>
    <t>4) Cocoa can give yield for about 50 yrs but economic yield of whole plantation declines after about 30-40 yrs</t>
  </si>
  <si>
    <t>5) Cocoa can be cultivated as a mono crop, home garden crop or as an intercrop with rubber and coconut. It is more advisable to cultivate as an</t>
  </si>
  <si>
    <t>6) Yield can be further decrease if there is mamalian pest damage.</t>
  </si>
  <si>
    <t>3)  Cardamom is grown in high elevations and majority of cardamom areas are in the knukles range. As a result of declaration of areas above 3500m are</t>
  </si>
  <si>
    <t xml:space="preserve">4)  More over 90% of cardamom cultivations in Sri Lanka have been affected by cardamom thrips problem and the insect thrives in all cardamom growing areas. </t>
  </si>
  <si>
    <t>5) Opportunity costs of land and capital were not included</t>
  </si>
  <si>
    <t xml:space="preserve">3)  Nutmeg is a bisexual plant and the yield is vary from tree to tree. Usually 50% of trees are male trees which gives no yield and can be known after bearing begins. </t>
  </si>
  <si>
    <t>4)  Male trees are uprooted leaving 1male: 10 female trees.</t>
  </si>
  <si>
    <t>5)  Nutmeg is grown as scattered trees and rarely a commerical scale cultivation exists.  Usually inorganic fertilizer is not applied and other</t>
  </si>
  <si>
    <t xml:space="preserve">6)  Nutmeg starts bearing at 6th-7th years (under good managemnt) and can yield over 100 years. Higher yield is obtained fom trees older than 40-50 years. </t>
  </si>
  <si>
    <t>3)   Annual yield is highly vary as clove follows alternate bearing patterns and the crop is highly sensitive to weather conditions.</t>
  </si>
  <si>
    <t>4)   Some trees older than 25 years can give higher yield than the expected yield mentioned above</t>
  </si>
  <si>
    <t>5)   The yield figure given above is the average figure considering all above field conditions</t>
  </si>
  <si>
    <t>6) Clove is Sri Lanka is largely grown without having recommended management conditions and above table was prepared using literature and scattered</t>
  </si>
  <si>
    <t xml:space="preserve">3)  Betel cultivations can last over 7-8 years with good management practices but over 75% of cultivations are </t>
  </si>
  <si>
    <t>4)  Yield can be obtained after 5 months of planting.</t>
  </si>
  <si>
    <t xml:space="preserve">5)  Larger part of yield in first few months comprises "kanda kola" and normal " peedunu " leaves can be obtained at </t>
  </si>
  <si>
    <t>6)  For export purposes, yield is obtained at every 21 days and there are about 15 harvesting cycles a year.</t>
  </si>
  <si>
    <t>7) Experience of farmer is vital for the sustainability of cultivations</t>
  </si>
  <si>
    <t xml:space="preserve">8) Majority of betel cultivations are small (around 100-200 stakes) and medium (400-500stakes) scale cultivations. </t>
  </si>
  <si>
    <t>9) Bacteria Leaf Blight disease is the main threat to betel which has no cure at the moment</t>
  </si>
  <si>
    <t>10) Opportunity costs of land and capital were not included</t>
  </si>
  <si>
    <t>3)  Arecanut in Sri Lanka is grown as scattered trees and rarely a commerical scale cultivation exists.  Usually inorganic fertilizer is not applied and other</t>
  </si>
  <si>
    <t xml:space="preserve">4) Even in well managed cultivations, bearing starts at 6th or 7th year. Intercropping with annual crops can be done to get some income in the gestation period. </t>
  </si>
  <si>
    <t>3) Cost of mulching includes cost of material, collection cost and transport cost</t>
  </si>
  <si>
    <t>3) Although there is a fertilizer recommendation, usually no inorganic fertilizer is appied for citronella</t>
  </si>
  <si>
    <t>3 )Cinnamon can give economically significant yield for about 70-100 yrs under good management conditions. Crop can last for about 30-40 yrs. Under average management</t>
  </si>
  <si>
    <t>4)  Average yield would vary with soil types and management conditions</t>
  </si>
  <si>
    <t>6) Application of fertilizer sugnificantly affects on yield and poor application of fertilizer and low management conditions would prolong the first harvest and</t>
  </si>
  <si>
    <t>3) yield could vary with soil,management conditions &amp; pest and disease situations in the field</t>
  </si>
  <si>
    <t>4) Yield levels dicrease drastically when infected with pest and diseases especially when same land is</t>
  </si>
  <si>
    <t>5) Per kilo cost greatly vary with the price of seed ginger prevailing in the market during planting time</t>
  </si>
  <si>
    <t xml:space="preserve">6) Cost and returns could vary with the type of variety used. Local and Rangoon varieties have low yield potentials </t>
  </si>
  <si>
    <t>3) Based on 2020 average farm gate prices</t>
  </si>
  <si>
    <t>No. of fruits / ha</t>
  </si>
  <si>
    <t>No. of yielding tree / ha (No.of plants/ha *50%-4%)</t>
  </si>
  <si>
    <t>No. of yielding tree / ha (No.of plants/ha *90%)</t>
  </si>
  <si>
    <t>No.of yielding tree/ha ratio</t>
  </si>
  <si>
    <t>*** Amount of Dolomite application depend on the soil pH</t>
  </si>
  <si>
    <t>*Amount of Dolomite application depend on the soil pH</t>
  </si>
  <si>
    <t>Rs. / 1000 leaves</t>
  </si>
  <si>
    <t>Rs. / kg dry</t>
  </si>
  <si>
    <t>Rs. Kg</t>
  </si>
  <si>
    <t>8 yrs</t>
  </si>
  <si>
    <t>4) Price was computed by taking the average of 2020 farm gate prices</t>
  </si>
  <si>
    <t>5) Price is an average of 2020 farm gate prices</t>
  </si>
  <si>
    <t>4) Per kilo cost greatly vary with the price of seed turmeric prevailing in the market during planting time</t>
  </si>
  <si>
    <t xml:space="preserve">             management practices are also very low. The COP table shown here are prepared using literature and scattered field level data collected from farmers and field officers.</t>
  </si>
  <si>
    <t xml:space="preserve">         or potential yield data and correct figures for the management cost. The COP table prepared here uses literature, research data and  scattered field level data </t>
  </si>
  <si>
    <t xml:space="preserve">                          management practices are also very low. The COP table shown here are prepared using scattered field level data collected from farmers.</t>
  </si>
  <si>
    <t>3 yrs</t>
  </si>
  <si>
    <t>COP/kg/dry</t>
  </si>
  <si>
    <t>Cost of plants, 2000 plants @ Rs. 35 / sucker</t>
  </si>
  <si>
    <t>Betel vines@ Rs.20/vine@2vines/stake</t>
  </si>
  <si>
    <t>Cost of Vanilla plants, 2750 plants/ha @ Rs 40./ stem cut</t>
  </si>
  <si>
    <t>Planting material, suckers 27,500 /ha  @ Rs.3/sucker</t>
  </si>
  <si>
    <t>Seeds, 500kg @ Rs.100/kg</t>
  </si>
  <si>
    <t>Manure 3 cubes @ Rs. 16000/cube</t>
  </si>
  <si>
    <t>Manure 4 cubes @ Rs. 16000/cube</t>
  </si>
  <si>
    <t>Manure 2 cubes @ Rs. 16000/cube</t>
  </si>
  <si>
    <t>Manure 01 cube @ Rs. 16000/cube</t>
  </si>
  <si>
    <t>Organic fertilizer @ Rs.16000/cube @4 cubes</t>
  </si>
  <si>
    <t>Cost of Manure 3 cubes @   Rs.16000/cube</t>
  </si>
  <si>
    <t>Organic manure # 9 cubes @16000/cube</t>
  </si>
  <si>
    <t>Organic manure 08mt.(04 cubes) @ Rs.16000/cube)</t>
  </si>
  <si>
    <t>Organic manure/compost 08mt (04 cubes @ Rs.16000/cube)</t>
  </si>
  <si>
    <t xml:space="preserve">***Dolomite 400kg@Rs.1200/100kg </t>
  </si>
  <si>
    <t>*Dolomite (400kg @ Rs.1200/100kg.)</t>
  </si>
  <si>
    <r>
      <t>Seed material, 800kg @ Rs.7</t>
    </r>
    <r>
      <rPr>
        <sz val="10"/>
        <color rgb="FF000000"/>
        <rFont val="Arial"/>
      </rPr>
      <t>0/kg</t>
    </r>
  </si>
  <si>
    <t>Fertilizer cost, @ Rs. 267.33/Kg</t>
  </si>
  <si>
    <t>Fertilizer cost, @ Rs. 332.75/Kg</t>
  </si>
  <si>
    <t>Fertilizer cost, @ Rs. 273.50/Kg</t>
  </si>
  <si>
    <t>Fertilizer Cost @ 318.67 Rs/kg mixture</t>
  </si>
  <si>
    <t>Inorganic fertilizer @mixture 430g/100 stakes/time/ 15 times/yr/Rs.421.71/kg.</t>
  </si>
  <si>
    <t>Fertilizer cost, @ Rs. 273.09/Kg</t>
  </si>
  <si>
    <t>Fertilizer  cost @ Rs.309.77/kg</t>
  </si>
  <si>
    <t>Fertilizer cost @ Rs.282.88/kg</t>
  </si>
  <si>
    <t>**Peeling charge (1769.00) reconsider</t>
  </si>
  <si>
    <t>Gross benefits @ Rs.896.12/Kg clean coffee(average FG price of 2022 - GR 1 &amp; GR 2)</t>
  </si>
  <si>
    <t>Gross benefits/farmer @ Rs. 3351.57/kg    ( Avr of LB, C5sp, C5 &amp; C4 in 2022 )</t>
  </si>
  <si>
    <t>Gross benefits @ Rs.1637.56 /kg  (Av. FG Price of 2022 )</t>
  </si>
  <si>
    <t>Gross benefits @ Rs. 333.24 /kg ( averge. FG price of GR1 &amp; GR 2 in 2022)</t>
  </si>
  <si>
    <t>Gross benefits@ Rs.2225.09/kg (average price of 2022)</t>
  </si>
  <si>
    <t>Gross benefits @ Rs. 5813.08 / kg  ( ave. price of  LG, LLG1, LLG2, LB &amp; LNS in 2022)</t>
  </si>
  <si>
    <t>Income, nutmeg @ 1144.05 Rs/Kg  (average price of No 1 &amp; No 2 in 2022</t>
  </si>
  <si>
    <t>Income, mace@ 5199.23 Rs/kg (Avr FGP og No 1 &amp; No 2 in 2022)</t>
  </si>
  <si>
    <t>Av. annual price Rs.11885.42/1000 leaves ( Average of Peedunu (Export) max &amp; Min in 2022)</t>
  </si>
  <si>
    <t>Gross benefits @ Rs. 584.44/kg (average FG price of fresh 100 nuts in 2022 )</t>
  </si>
  <si>
    <t>No FG data for 2022, rough price added</t>
  </si>
  <si>
    <t>Gross benefits @ Rs 5500/kg of Avrg FGP raw vanilla in 2022</t>
  </si>
  <si>
    <t>Gross Benefit @ Rs. 5005.65 /kg   (ave. FG price of 2022)</t>
  </si>
  <si>
    <t>Gross Benefits @ Rs.166.32 /kg in Avrg 2022 FGP</t>
  </si>
  <si>
    <t>Gross Benefits @ Rs.108.01/kg (average raw FGP in 2022)</t>
  </si>
  <si>
    <t>Gross Benefits @ Rs.166.32/kg in 2022 avr FGP</t>
  </si>
  <si>
    <t>**Prepared based on the local fertilizer prices on December 2022</t>
  </si>
  <si>
    <t>Cost of plants, 1700 plants @ Rs. 40 /plant</t>
  </si>
  <si>
    <t>Cost of plants, 9000 plants @ Rs.25/plant</t>
  </si>
  <si>
    <t>Cost of plants, 3000 plants @ Rs.30/plant</t>
  </si>
  <si>
    <t>Cost of plants, 1100 plants @ Rs.30/plant</t>
  </si>
  <si>
    <t>Plants @ 250/ha@Rs.130/plt.</t>
  </si>
  <si>
    <t>Cost of Plants, 1600 plants/ha  @ Rs. 30/plant</t>
  </si>
  <si>
    <t>aaaa</t>
  </si>
  <si>
    <t>Crop Budget of Pepper (Per Hectare) under Recommended Management Practices  - Revised in 2023</t>
  </si>
  <si>
    <t>Crop Budget of Cinnamon (Per Hectare) under Recommended Management Practices - Revised in 2023</t>
  </si>
  <si>
    <t>Crop Budget of Coffee arabica (Per Hectare) under Recommended Management Practices - Revised in 2023</t>
  </si>
  <si>
    <t>Crop Budget of Cocoa (Per Hectare) under Recommended Management Practices - Revised in 2023</t>
  </si>
  <si>
    <t>Crop Budget of Cardamom (Per Hectare) under Recommended Management Practices - Revised in 2023</t>
  </si>
  <si>
    <t>Crop Budget of Clove (Per Hectare) under Recommended Management Practices - Revised in 2023</t>
  </si>
  <si>
    <t>Crop Budget of Nutmeg (Per Hectare) under Recommended Management Practices  - Revised in 2023</t>
  </si>
  <si>
    <t>Crop Budget of 1000 Stakes of Betel (Bed system) under Recommended Management Practices - Revised in 2023</t>
  </si>
  <si>
    <t>Crop Budget of Arecanut (Per Hectare) under Recommended Management Practices - Revised in 2023</t>
  </si>
  <si>
    <t>Crop Budget of Vanilla Per Hectare under Recommended Management Practices - Revised in 2023</t>
  </si>
  <si>
    <t>Crop Budget of Citronella (Per Hectare) under Recommended Management Practices (with fertilizer) - Revised in 2023</t>
  </si>
  <si>
    <t>Crop Budget of Ginger (Chinese) under Recommended Management Practices - Revised in 2023</t>
  </si>
  <si>
    <t>Crop Budget of Ginger (Rangoon) under Recommended Management Practices - Revised in 2023</t>
  </si>
  <si>
    <t>Crop Budget of Turmeric under Recommended Management Practices - Revised in 2023</t>
  </si>
</sst>
</file>

<file path=xl/styles.xml><?xml version="1.0" encoding="utf-8"?>
<styleSheet xmlns="http://schemas.openxmlformats.org/spreadsheetml/2006/main">
  <numFmts count="8">
    <numFmt numFmtId="0" formatCode="General"/>
    <numFmt numFmtId="1" formatCode="0"/>
    <numFmt numFmtId="165" formatCode="_(* #,##0.00_);_(* \(#,##0.00\);_(* &quot;-&quot;??_);_(@_)"/>
    <numFmt numFmtId="166" formatCode="_(* #,##0_);_(* \(#,##0\);_(* &quot;-&quot;??_);_(@_)"/>
    <numFmt numFmtId="2" formatCode="0.00"/>
    <numFmt numFmtId="16" formatCode="d-mmm"/>
    <numFmt numFmtId="164" formatCode="_-* #,##0.00_-;\-* #,##0.00_-;_-* &quot;-&quot;??_-;_-@_-"/>
    <numFmt numFmtId="167" formatCode="_(* #,##0_);_(* \(#,##0\);_(* &quot;-&quot;?_);_(@_)"/>
  </numFmts>
  <fonts count="32">
    <font>
      <name val="Arial"/>
      <sz val="10"/>
    </font>
    <font>
      <name val="Arial"/>
      <sz val="9"/>
    </font>
    <font>
      <name val="Arial"/>
      <b/>
      <sz val="9"/>
    </font>
    <font>
      <name val="Arial"/>
      <b/>
      <sz val="10"/>
    </font>
    <font>
      <name val="Arial"/>
      <sz val="10"/>
    </font>
    <font>
      <name val="Arial"/>
      <sz val="9"/>
      <color indexed="10"/>
    </font>
    <font>
      <name val="Arial"/>
      <sz val="10"/>
    </font>
    <font>
      <name val="Arial"/>
      <sz val="9"/>
    </font>
    <font>
      <name val="Arial"/>
      <sz val="10"/>
    </font>
    <font>
      <name val="Arial"/>
      <b/>
      <sz val="9"/>
    </font>
    <font>
      <name val="Arial"/>
      <b/>
      <sz val="9"/>
      <color indexed="10"/>
    </font>
    <font>
      <name val="Arial"/>
      <b/>
      <sz val="9"/>
      <color rgb="FFC0514D"/>
    </font>
    <font>
      <name val="Arial"/>
      <sz val="9"/>
      <color rgb="FFFF0000"/>
    </font>
    <font>
      <name val="Arial"/>
      <b/>
      <sz val="9"/>
      <color rgb="FFFF0000"/>
    </font>
    <font>
      <name val="Arial"/>
      <sz val="10"/>
      <color rgb="FFFF0000"/>
    </font>
    <font>
      <name val="Arial"/>
      <b/>
      <sz val="10"/>
      <color rgb="FFFF0000"/>
    </font>
    <font>
      <name val="Arial"/>
      <b/>
      <sz val="9"/>
      <color indexed="8"/>
    </font>
    <font>
      <name val="Arial"/>
      <sz val="9"/>
      <color indexed="12"/>
    </font>
    <font>
      <name val="Arial"/>
      <b/>
      <i/>
      <sz val="10"/>
    </font>
    <font>
      <name val="Arial"/>
      <sz val="10"/>
      <color indexed="10"/>
    </font>
    <font>
      <name val="Arial"/>
      <b/>
      <sz val="10"/>
      <color indexed="10"/>
    </font>
    <font>
      <name val="Arial"/>
      <b/>
      <u/>
      <sz val="10"/>
    </font>
    <font>
      <name val="Times New Roman"/>
      <sz val="10"/>
    </font>
    <font>
      <name val="Times New Roman"/>
      <sz val="10"/>
      <color rgb="FFFF0000"/>
    </font>
    <font>
      <name val="Times New Roman"/>
      <b/>
      <sz val="10"/>
    </font>
    <font>
      <name val="Times New Roman"/>
      <sz val="9"/>
    </font>
    <font>
      <name val="Times New Roman"/>
      <b/>
      <sz val="9"/>
    </font>
    <font>
      <name val="Times New Roman"/>
      <sz val="9"/>
      <color rgb="FFFF0000"/>
    </font>
    <font>
      <name val="Times New Roman"/>
      <b/>
      <sz val="9"/>
      <color rgb="FFFF0000"/>
    </font>
    <font>
      <name val="Times New Roman"/>
      <b/>
      <sz val="10"/>
      <color rgb="FFFF0000"/>
    </font>
    <font>
      <name val="Times New Roman"/>
      <sz val="9"/>
      <color indexed="10"/>
    </font>
    <font>
      <name val="Arial"/>
      <b/>
      <i/>
      <sz val="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BC0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165" fontId="8" fillId="0" borderId="0">
      <alignment vertical="top"/>
      <protection locked="0" hidden="0"/>
    </xf>
  </cellStyleXfs>
  <cellXfs count="384">
    <xf numFmtId="0" fontId="0" fillId="0" borderId="0" xfId="0">
      <alignment vertical="center"/>
    </xf>
    <xf numFmtId="0" fontId="1" fillId="0" borderId="0" xfId="0" applyFont="1" applyAlignment="1">
      <alignment horizontal="left" vertical="bottom"/>
    </xf>
    <xf numFmtId="0" fontId="1" fillId="0" borderId="0" xfId="0" applyFont="1" applyAlignment="1">
      <alignment horizontal="center" vertical="bottom"/>
    </xf>
    <xf numFmtId="0" fontId="2" fillId="0" borderId="0" xfId="0" applyFont="1" applyAlignment="1">
      <alignment horizontal="center" vertical="bottom"/>
    </xf>
    <xf numFmtId="0" fontId="3" fillId="0" borderId="0" xfId="0" applyFont="1" applyAlignment="1">
      <alignment horizontal="center" vertical="bottom"/>
    </xf>
    <xf numFmtId="0" fontId="3" fillId="0" borderId="0" xfId="0" applyFont="1" applyAlignment="1">
      <alignment horizontal="left" vertical="bottom"/>
    </xf>
    <xf numFmtId="0" fontId="1" fillId="0" borderId="0" xfId="0" applyFont="1" applyFill="1" applyAlignment="1">
      <alignment horizontal="left" vertical="bottom"/>
    </xf>
    <xf numFmtId="0" fontId="2" fillId="0" borderId="0" xfId="0" applyFont="1" applyAlignment="1">
      <alignment horizontal="left" vertical="bottom"/>
    </xf>
    <xf numFmtId="0" fontId="4" fillId="0" borderId="0" xfId="0" applyAlignment="1">
      <alignment horizontal="left" vertical="bottom"/>
    </xf>
    <xf numFmtId="0" fontId="1" fillId="0" borderId="1" xfId="0" applyFont="1" applyBorder="1" applyAlignment="1">
      <alignment horizontal="left" vertical="bottom"/>
    </xf>
    <xf numFmtId="0" fontId="2" fillId="0" borderId="1" xfId="0" applyFont="1" applyBorder="1" applyAlignment="1">
      <alignment horizontal="left" vertical="bottom"/>
    </xf>
    <xf numFmtId="0" fontId="2" fillId="0" borderId="1" xfId="0" applyFont="1" applyBorder="1" applyAlignment="1">
      <alignment horizontal="center" vertical="bottom"/>
    </xf>
    <xf numFmtId="0" fontId="1" fillId="0" borderId="1" xfId="0" applyFont="1" applyBorder="1" applyAlignment="1">
      <alignment horizontal="center" vertical="bottom"/>
    </xf>
    <xf numFmtId="0" fontId="2" fillId="0" borderId="0" xfId="0" applyFont="1" applyFill="1" applyAlignment="1">
      <alignment horizontal="left" vertical="bottom"/>
    </xf>
    <xf numFmtId="0" fontId="1" fillId="0" borderId="1" xfId="0" applyFont="1" applyBorder="1" applyAlignment="1">
      <alignment horizontal="left" vertical="bottom" wrapText="1"/>
    </xf>
    <xf numFmtId="0" fontId="1" fillId="0" borderId="1" xfId="0" applyFont="1" applyFill="1" applyBorder="1" applyAlignment="1">
      <alignment horizontal="left" vertical="bottom"/>
    </xf>
    <xf numFmtId="1" fontId="1" fillId="0" borderId="1" xfId="0" applyNumberFormat="1" applyFont="1" applyBorder="1" applyAlignment="1">
      <alignment horizontal="right" vertical="bottom"/>
    </xf>
    <xf numFmtId="0" fontId="5" fillId="0" borderId="0" xfId="0" applyFont="1" applyAlignment="1">
      <alignment horizontal="left" vertical="bottom"/>
    </xf>
    <xf numFmtId="0" fontId="6" fillId="0" borderId="0" xfId="0" applyFont="1" applyAlignment="1">
      <alignment horizontal="left" vertical="bottom"/>
    </xf>
    <xf numFmtId="0" fontId="7" fillId="0" borderId="1" xfId="0" applyFont="1" applyFill="1" applyBorder="1" applyAlignment="1">
      <alignment horizontal="left" vertical="bottom"/>
    </xf>
    <xf numFmtId="1" fontId="1" fillId="0" borderId="1" xfId="0" applyNumberFormat="1" applyFont="1" applyFill="1" applyBorder="1" applyAlignment="1">
      <alignment horizontal="right" vertical="bottom"/>
    </xf>
    <xf numFmtId="0" fontId="1" fillId="0" borderId="0" xfId="0" applyFont="1" applyFill="1" applyAlignment="1">
      <alignment horizontal="center" vertical="bottom"/>
    </xf>
    <xf numFmtId="0" fontId="1" fillId="0" borderId="1" xfId="0" applyFont="1" applyFill="1" applyBorder="1" applyAlignment="1">
      <alignment horizontal="left" vertical="bottom" wrapText="1"/>
    </xf>
    <xf numFmtId="0" fontId="7" fillId="0" borderId="1" xfId="0" applyFont="1" applyBorder="1" applyAlignment="1">
      <alignment horizontal="left" vertical="bottom"/>
    </xf>
    <xf numFmtId="1" fontId="7" fillId="0" borderId="1" xfId="0" applyNumberFormat="1" applyFont="1" applyBorder="1" applyAlignment="1">
      <alignment horizontal="right" vertical="bottom"/>
    </xf>
    <xf numFmtId="1" fontId="7" fillId="0" borderId="1" xfId="0" applyNumberFormat="1" applyFont="1" applyFill="1" applyBorder="1" applyAlignment="1">
      <alignment horizontal="right" vertical="bottom"/>
    </xf>
    <xf numFmtId="0" fontId="8" fillId="2" borderId="1" xfId="0" applyFont="1" applyFill="1" applyBorder="1" applyAlignment="1">
      <alignment horizontal="left" vertical="bottom"/>
    </xf>
    <xf numFmtId="1" fontId="7" fillId="2" borderId="1" xfId="0" applyNumberFormat="1" applyFont="1" applyFill="1" applyBorder="1" applyAlignment="1">
      <alignment horizontal="right" vertical="bottom"/>
    </xf>
    <xf numFmtId="0" fontId="9" fillId="2" borderId="1" xfId="0" applyFont="1" applyFill="1" applyBorder="1" applyAlignment="1">
      <alignment horizontal="left" vertical="bottom"/>
    </xf>
    <xf numFmtId="0" fontId="3" fillId="2" borderId="1" xfId="0" applyFont="1" applyFill="1" applyBorder="1" applyAlignment="1">
      <alignment horizontal="left" vertical="bottom"/>
    </xf>
    <xf numFmtId="165" fontId="9" fillId="2" borderId="1" xfId="1" applyFont="1" applyFill="1" applyBorder="1" applyAlignment="1">
      <alignment horizontal="center" vertical="bottom"/>
    </xf>
    <xf numFmtId="0" fontId="7" fillId="2" borderId="1" xfId="0" applyFont="1" applyFill="1" applyBorder="1" applyAlignment="1">
      <alignment horizontal="left" vertical="bottom"/>
    </xf>
    <xf numFmtId="165" fontId="7" fillId="2" borderId="1" xfId="1" applyFont="1" applyFill="1" applyBorder="1" applyAlignment="1">
      <alignment horizontal="center" vertical="bottom"/>
    </xf>
    <xf numFmtId="165" fontId="1" fillId="0" borderId="1" xfId="1" applyFont="1" applyBorder="1" applyAlignment="1">
      <alignment horizontal="center" vertical="bottom"/>
    </xf>
    <xf numFmtId="0" fontId="4" fillId="0" borderId="0" xfId="0" applyAlignment="1">
      <alignment horizontal="center" vertical="bottom"/>
    </xf>
    <xf numFmtId="0" fontId="7" fillId="2" borderId="1" xfId="0" applyFont="1" applyFill="1" applyBorder="1" applyAlignment="1">
      <alignment horizontal="left" vertical="bottom" wrapText="1"/>
    </xf>
    <xf numFmtId="0" fontId="9" fillId="0" borderId="0" xfId="0" applyFont="1" applyAlignment="1">
      <alignment horizontal="left" vertical="bottom"/>
    </xf>
    <xf numFmtId="0" fontId="10" fillId="0" borderId="0" xfId="0" applyFont="1" applyAlignment="1">
      <alignment horizontal="left" vertical="bottom"/>
    </xf>
    <xf numFmtId="0" fontId="9" fillId="0" borderId="0" xfId="0" applyFont="1" applyAlignment="1">
      <alignment horizontal="center" vertical="bottom"/>
    </xf>
    <xf numFmtId="0" fontId="1" fillId="2" borderId="0" xfId="0" applyFont="1" applyFill="1" applyAlignment="1">
      <alignment horizontal="left" vertical="bottom"/>
    </xf>
    <xf numFmtId="0" fontId="9" fillId="2" borderId="0" xfId="0" applyFont="1" applyFill="1" applyAlignment="1">
      <alignment horizontal="center" vertical="bottom"/>
    </xf>
    <xf numFmtId="0" fontId="5" fillId="2" borderId="0" xfId="0" applyFont="1" applyFill="1" applyAlignment="1">
      <alignment horizontal="left" vertical="bottom"/>
    </xf>
    <xf numFmtId="0" fontId="9" fillId="2" borderId="1" xfId="0" applyFont="1" applyFill="1" applyBorder="1" applyAlignment="1">
      <alignment horizontal="left" vertical="bottom" wrapText="1"/>
    </xf>
    <xf numFmtId="165" fontId="9" fillId="0" borderId="1" xfId="1" applyFont="1" applyBorder="1" applyAlignment="1">
      <alignment horizontal="center" vertical="bottom"/>
    </xf>
    <xf numFmtId="0" fontId="9" fillId="3" borderId="1" xfId="0" applyFont="1" applyFill="1" applyBorder="1" applyAlignment="1">
      <alignment horizontal="left" vertical="bottom" wrapText="1"/>
    </xf>
    <xf numFmtId="0" fontId="9" fillId="3" borderId="1" xfId="0" applyFont="1" applyFill="1" applyBorder="1" applyAlignment="1">
      <alignment horizontal="left" vertical="bottom"/>
    </xf>
    <xf numFmtId="165" fontId="9" fillId="3" borderId="1" xfId="1" applyFont="1" applyFill="1" applyBorder="1" applyAlignment="1">
      <alignment horizontal="center" vertical="bottom"/>
    </xf>
    <xf numFmtId="165" fontId="1" fillId="0" borderId="0" xfId="0" applyNumberFormat="1" applyFont="1" applyAlignment="1">
      <alignment horizontal="center" vertical="bottom"/>
    </xf>
    <xf numFmtId="165" fontId="5" fillId="0" borderId="0" xfId="0" applyNumberFormat="1" applyFont="1" applyAlignment="1">
      <alignment horizontal="left" vertical="bottom"/>
    </xf>
    <xf numFmtId="165" fontId="1" fillId="0" borderId="0" xfId="0" applyNumberFormat="1" applyFont="1" applyAlignment="1">
      <alignment horizontal="left" vertical="bottom"/>
    </xf>
    <xf numFmtId="165" fontId="2" fillId="0" borderId="1" xfId="1" applyFont="1" applyBorder="1" applyAlignment="1">
      <alignment horizontal="center" vertical="bottom"/>
    </xf>
    <xf numFmtId="166" fontId="1" fillId="0" borderId="0" xfId="1" applyNumberFormat="1" applyFont="1" applyAlignment="1">
      <alignment horizontal="left" vertical="bottom"/>
    </xf>
    <xf numFmtId="0" fontId="7" fillId="3" borderId="1" xfId="0" applyFont="1" applyFill="1" applyBorder="1" applyAlignment="1">
      <alignment horizontal="left" vertical="bottom" wrapText="1"/>
    </xf>
    <xf numFmtId="0" fontId="7" fillId="3" borderId="1" xfId="0" applyFont="1" applyFill="1" applyBorder="1" applyAlignment="1">
      <alignment horizontal="left" vertical="bottom"/>
    </xf>
    <xf numFmtId="165" fontId="7" fillId="3" borderId="1" xfId="1" applyFont="1" applyFill="1" applyBorder="1" applyAlignment="1">
      <alignment horizontal="center" vertical="bottom"/>
    </xf>
    <xf numFmtId="2" fontId="9" fillId="3" borderId="1" xfId="1" applyNumberFormat="1" applyFont="1" applyFill="1" applyBorder="1" applyAlignment="1">
      <alignment horizontal="center" vertical="bottom"/>
    </xf>
    <xf numFmtId="0" fontId="11" fillId="0" borderId="0" xfId="0" applyFont="1" applyAlignment="1">
      <alignment horizontal="center" vertical="bottom"/>
    </xf>
    <xf numFmtId="2" fontId="9" fillId="4" borderId="1" xfId="0" applyNumberFormat="1" applyFont="1" applyFill="1" applyBorder="1" applyAlignment="1">
      <alignment horizontal="left" vertical="bottom" wrapText="1"/>
    </xf>
    <xf numFmtId="2" fontId="9" fillId="4" borderId="1" xfId="0" applyNumberFormat="1" applyFont="1" applyFill="1" applyBorder="1" applyAlignment="1">
      <alignment horizontal="left" vertical="bottom"/>
    </xf>
    <xf numFmtId="165" fontId="10" fillId="4" borderId="1" xfId="1" applyFont="1" applyFill="1" applyBorder="1" applyAlignment="1">
      <alignment horizontal="center" vertical="bottom"/>
    </xf>
    <xf numFmtId="165" fontId="9" fillId="4" borderId="1" xfId="1" applyFont="1" applyFill="1" applyBorder="1" applyAlignment="1">
      <alignment horizontal="center" vertical="bottom"/>
    </xf>
    <xf numFmtId="0" fontId="5" fillId="0" borderId="0" xfId="0" applyFont="1" applyAlignment="1">
      <alignment horizontal="center" vertical="bottom"/>
    </xf>
    <xf numFmtId="0" fontId="1" fillId="0" borderId="0" xfId="0" applyFont="1" applyAlignment="1">
      <alignment horizontal="left" vertical="bottom" wrapText="1"/>
    </xf>
    <xf numFmtId="165" fontId="5" fillId="0" borderId="0" xfId="1" applyFont="1" applyAlignment="1">
      <alignment horizontal="center" vertical="bottom"/>
    </xf>
    <xf numFmtId="165" fontId="1" fillId="0" borderId="0" xfId="1" applyFont="1" applyAlignment="1">
      <alignment horizontal="center" vertical="bottom"/>
    </xf>
    <xf numFmtId="0" fontId="7" fillId="0" borderId="0" xfId="0" applyFont="1" applyFill="1" applyAlignment="1">
      <alignment horizontal="left" vertical="bottom"/>
    </xf>
    <xf numFmtId="0" fontId="7" fillId="0" borderId="0" xfId="0" applyFont="1" applyAlignment="1">
      <alignment horizontal="left" vertical="bottom"/>
    </xf>
    <xf numFmtId="0" fontId="6" fillId="0" borderId="0" xfId="0" applyFont="1" applyAlignment="1">
      <alignment horizontal="center" vertical="bottom"/>
    </xf>
    <xf numFmtId="0" fontId="12" fillId="0" borderId="0" xfId="0" applyFont="1" applyAlignment="1">
      <alignment horizontal="center" vertical="bottom"/>
    </xf>
    <xf numFmtId="0" fontId="13" fillId="0" borderId="0" xfId="0" applyFont="1" applyAlignment="1">
      <alignment horizontal="center" vertical="bottom"/>
    </xf>
    <xf numFmtId="0" fontId="12" fillId="0" borderId="0" xfId="0" applyFont="1" applyFill="1" applyAlignment="1">
      <alignment horizontal="center" vertical="bottom"/>
    </xf>
    <xf numFmtId="165" fontId="12" fillId="0" borderId="0" xfId="0" applyNumberFormat="1" applyFont="1" applyAlignment="1">
      <alignment horizontal="center" vertical="bottom"/>
    </xf>
    <xf numFmtId="165" fontId="5" fillId="0" borderId="1" xfId="1" applyFont="1" applyBorder="1" applyAlignment="1">
      <alignment horizontal="center" vertical="bottom"/>
    </xf>
    <xf numFmtId="0" fontId="2" fillId="2" borderId="0" xfId="0" applyFont="1" applyFill="1" applyAlignment="1">
      <alignment horizontal="left" vertical="bottom"/>
    </xf>
    <xf numFmtId="165" fontId="12" fillId="2" borderId="0" xfId="0" applyNumberFormat="1" applyFont="1" applyFill="1" applyAlignment="1">
      <alignment horizontal="center" vertical="bottom"/>
    </xf>
    <xf numFmtId="165" fontId="7" fillId="0" borderId="0" xfId="0" applyNumberFormat="1" applyFont="1" applyAlignment="1">
      <alignment horizontal="left" vertical="bottom"/>
    </xf>
    <xf numFmtId="0" fontId="7" fillId="0" borderId="0" xfId="0" applyFont="1" applyAlignment="1">
      <alignment horizontal="center" vertical="bottom"/>
    </xf>
    <xf numFmtId="166" fontId="12" fillId="0" borderId="0" xfId="0" applyNumberFormat="1" applyFont="1" applyAlignment="1">
      <alignment horizontal="center" vertical="bottom"/>
    </xf>
    <xf numFmtId="165" fontId="1" fillId="0" borderId="1" xfId="1" applyFont="1" applyFill="1" applyBorder="1" applyAlignment="1">
      <alignment horizontal="center" vertical="bottom"/>
    </xf>
    <xf numFmtId="1" fontId="12" fillId="0" borderId="0" xfId="0" applyNumberFormat="1" applyFont="1" applyFill="1" applyAlignment="1">
      <alignment horizontal="center" vertical="bottom"/>
    </xf>
    <xf numFmtId="0" fontId="12" fillId="0" borderId="0" xfId="0" applyFont="1" applyAlignment="1">
      <alignment horizontal="left" vertical="bottom"/>
    </xf>
    <xf numFmtId="165" fontId="1" fillId="3" borderId="1" xfId="1" applyFont="1" applyFill="1" applyBorder="1" applyAlignment="1">
      <alignment horizontal="center" vertical="bottom"/>
    </xf>
    <xf numFmtId="0" fontId="2" fillId="3" borderId="1" xfId="0" applyFont="1" applyFill="1" applyBorder="1" applyAlignment="1">
      <alignment horizontal="left" vertical="bottom"/>
    </xf>
    <xf numFmtId="165" fontId="2" fillId="3" borderId="1" xfId="1" applyFont="1" applyFill="1" applyBorder="1" applyAlignment="1">
      <alignment horizontal="center" vertical="bottom"/>
    </xf>
    <xf numFmtId="0" fontId="9" fillId="4" borderId="1" xfId="0" applyFont="1" applyFill="1" applyBorder="1" applyAlignment="1">
      <alignment horizontal="left" vertical="bottom"/>
    </xf>
    <xf numFmtId="1" fontId="12" fillId="0" borderId="0" xfId="0" applyNumberFormat="1" applyFont="1" applyAlignment="1">
      <alignment horizontal="center" vertical="bottom"/>
    </xf>
    <xf numFmtId="2" fontId="1" fillId="0" borderId="0" xfId="0" applyNumberFormat="1" applyFont="1" applyAlignment="1">
      <alignment horizontal="center" vertical="bottom"/>
    </xf>
    <xf numFmtId="1" fontId="1" fillId="0" borderId="0" xfId="0" applyNumberFormat="1" applyFont="1" applyAlignment="1">
      <alignment horizontal="center" vertical="bottom"/>
    </xf>
    <xf numFmtId="1" fontId="1" fillId="0" borderId="0" xfId="0" applyNumberFormat="1" applyFont="1" applyAlignment="1">
      <alignment horizontal="left" vertical="bottom"/>
    </xf>
    <xf numFmtId="0" fontId="14" fillId="0" borderId="0" xfId="0" applyFont="1" applyAlignment="1">
      <alignment horizontal="center" vertical="bottom"/>
    </xf>
    <xf numFmtId="0" fontId="15" fillId="0" borderId="0" xfId="0" applyFont="1" applyAlignment="1">
      <alignment horizontal="left" vertical="bottom"/>
    </xf>
    <xf numFmtId="0" fontId="7" fillId="0" borderId="0" xfId="0" applyFont="1" applyAlignment="1">
      <alignment vertical="bottom"/>
    </xf>
    <xf numFmtId="0" fontId="7" fillId="0" borderId="1" xfId="0" applyFont="1" applyBorder="1" applyAlignment="1">
      <alignment vertical="bottom"/>
    </xf>
    <xf numFmtId="0" fontId="3" fillId="0" borderId="1" xfId="0" applyFont="1" applyBorder="1" applyAlignment="1">
      <alignment vertical="bottom"/>
    </xf>
    <xf numFmtId="0" fontId="9" fillId="0" borderId="1" xfId="0" applyFont="1" applyBorder="1" applyAlignment="1">
      <alignment vertical="bottom"/>
    </xf>
    <xf numFmtId="0" fontId="9" fillId="0" borderId="1" xfId="0" applyFont="1" applyBorder="1" applyAlignment="1">
      <alignment horizontal="left" vertical="bottom"/>
    </xf>
    <xf numFmtId="0" fontId="9" fillId="0" borderId="0" xfId="0" applyFont="1" applyAlignment="1">
      <alignment horizontal="center" vertical="bottom"/>
    </xf>
    <xf numFmtId="16" fontId="5" fillId="0" borderId="1" xfId="0" applyNumberFormat="1" applyFont="1" applyBorder="1" applyAlignment="1">
      <alignment vertical="bottom"/>
    </xf>
    <xf numFmtId="0" fontId="8" fillId="0" borderId="0" xfId="0" applyFont="1" applyAlignment="1">
      <alignment horizontal="left" vertical="bottom"/>
    </xf>
    <xf numFmtId="0" fontId="7" fillId="0" borderId="1" xfId="0" applyFont="1" applyBorder="1" applyAlignment="1">
      <alignment horizontal="left" vertical="bottom" wrapText="1"/>
    </xf>
    <xf numFmtId="1" fontId="4" fillId="0" borderId="1" xfId="0" applyNumberFormat="1" applyBorder="1" applyAlignment="1">
      <alignment horizontal="right" vertical="bottom"/>
    </xf>
    <xf numFmtId="16" fontId="5" fillId="0" borderId="0" xfId="0" applyNumberFormat="1" applyFont="1" applyAlignment="1">
      <alignment horizontal="left" vertical="bottom"/>
    </xf>
    <xf numFmtId="165" fontId="9" fillId="0" borderId="1" xfId="1" applyFont="1" applyBorder="1" applyAlignment="1">
      <alignment vertical="bottom"/>
    </xf>
    <xf numFmtId="0" fontId="16" fillId="0" borderId="0" xfId="0" applyFont="1" applyAlignment="1">
      <alignment horizontal="left" vertical="bottom"/>
    </xf>
    <xf numFmtId="0" fontId="5" fillId="0" borderId="1" xfId="0" applyFont="1" applyBorder="1" applyAlignment="1">
      <alignment horizontal="left" vertical="bottom"/>
    </xf>
    <xf numFmtId="0" fontId="5" fillId="0" borderId="1" xfId="0" applyFont="1" applyBorder="1" applyAlignment="1">
      <alignment vertical="bottom"/>
    </xf>
    <xf numFmtId="165" fontId="5" fillId="0" borderId="1" xfId="1" applyFont="1" applyBorder="1" applyAlignment="1">
      <alignment vertical="bottom"/>
    </xf>
    <xf numFmtId="165" fontId="7" fillId="0" borderId="1" xfId="1" applyFont="1" applyBorder="1" applyAlignment="1">
      <alignment vertical="bottom"/>
    </xf>
    <xf numFmtId="0" fontId="17" fillId="0" borderId="0" xfId="0" applyFont="1" applyAlignment="1">
      <alignment horizontal="center" vertical="bottom"/>
    </xf>
    <xf numFmtId="0" fontId="17" fillId="0" borderId="0" xfId="0" applyFont="1" applyAlignment="1">
      <alignment horizontal="left" vertical="bottom"/>
    </xf>
    <xf numFmtId="0" fontId="7" fillId="0" borderId="1" xfId="0" applyFont="1" applyFill="1" applyBorder="1" applyAlignment="1">
      <alignment vertical="bottom"/>
    </xf>
    <xf numFmtId="0" fontId="7" fillId="2" borderId="1" xfId="0" applyFont="1" applyFill="1" applyBorder="1" applyAlignment="1">
      <alignment vertical="bottom" wrapText="1"/>
    </xf>
    <xf numFmtId="0" fontId="7" fillId="0" borderId="1" xfId="0" applyFont="1" applyBorder="1" applyAlignment="1">
      <alignment vertical="bottom" wrapText="1"/>
    </xf>
    <xf numFmtId="165" fontId="7" fillId="0" borderId="1" xfId="1" applyFont="1" applyFill="1" applyBorder="1" applyAlignment="1">
      <alignment vertical="bottom"/>
    </xf>
    <xf numFmtId="0" fontId="7" fillId="0" borderId="1" xfId="0" applyFont="1" applyFill="1" applyBorder="1" applyAlignment="1">
      <alignment vertical="bottom" wrapText="1"/>
    </xf>
    <xf numFmtId="0" fontId="9" fillId="2" borderId="0" xfId="0" applyFont="1" applyFill="1" applyAlignment="1">
      <alignment horizontal="left" vertical="bottom"/>
    </xf>
    <xf numFmtId="0" fontId="7" fillId="2" borderId="1" xfId="0" applyFont="1" applyFill="1" applyBorder="1" applyAlignment="1">
      <alignment vertical="bottom"/>
    </xf>
    <xf numFmtId="165" fontId="7" fillId="2" borderId="1" xfId="1" applyFont="1" applyFill="1" applyBorder="1" applyAlignment="1">
      <alignment vertical="bottom"/>
    </xf>
    <xf numFmtId="0" fontId="12" fillId="2" borderId="0" xfId="0" applyFont="1" applyFill="1" applyAlignment="1">
      <alignment horizontal="center" vertical="bottom"/>
    </xf>
    <xf numFmtId="0" fontId="7" fillId="2" borderId="0" xfId="0" applyFont="1" applyFill="1" applyAlignment="1">
      <alignment horizontal="left" vertical="bottom"/>
    </xf>
    <xf numFmtId="0" fontId="5" fillId="2" borderId="0" xfId="0" applyFont="1" applyFill="1" applyAlignment="1">
      <alignment horizontal="center" vertical="bottom"/>
    </xf>
    <xf numFmtId="16" fontId="5" fillId="2" borderId="0" xfId="0" applyNumberFormat="1" applyFont="1" applyFill="1" applyAlignment="1">
      <alignment horizontal="center" vertical="bottom"/>
    </xf>
    <xf numFmtId="16" fontId="5" fillId="2" borderId="0" xfId="0" applyNumberFormat="1" applyFont="1" applyFill="1" applyAlignment="1">
      <alignment horizontal="left" vertical="bottom"/>
    </xf>
    <xf numFmtId="0" fontId="9" fillId="0" borderId="1" xfId="0" applyFont="1" applyFill="1" applyBorder="1" applyAlignment="1">
      <alignment horizontal="left" vertical="bottom" wrapText="1"/>
    </xf>
    <xf numFmtId="0" fontId="9" fillId="3" borderId="1" xfId="0" applyFont="1" applyFill="1" applyBorder="1" applyAlignment="1">
      <alignment vertical="bottom"/>
    </xf>
    <xf numFmtId="165" fontId="9" fillId="3" borderId="1" xfId="1" applyFont="1" applyFill="1" applyBorder="1" applyAlignment="1">
      <alignment vertical="bottom"/>
    </xf>
    <xf numFmtId="0" fontId="9" fillId="0" borderId="1" xfId="0" applyFont="1" applyBorder="1" applyAlignment="1">
      <alignment horizontal="left" vertical="bottom" wrapText="1"/>
    </xf>
    <xf numFmtId="16" fontId="5" fillId="0" borderId="0" xfId="0" applyNumberFormat="1" applyFont="1" applyAlignment="1">
      <alignment horizontal="center" vertical="bottom"/>
    </xf>
    <xf numFmtId="1" fontId="7" fillId="0" borderId="0" xfId="0" applyNumberFormat="1" applyFont="1" applyAlignment="1">
      <alignment horizontal="left" vertical="bottom"/>
    </xf>
    <xf numFmtId="0" fontId="7" fillId="3" borderId="1" xfId="0" applyFont="1" applyFill="1" applyBorder="1" applyAlignment="1">
      <alignment vertical="bottom"/>
    </xf>
    <xf numFmtId="165" fontId="7" fillId="3" borderId="1" xfId="1" applyFont="1" applyFill="1" applyBorder="1" applyAlignment="1">
      <alignment vertical="bottom"/>
    </xf>
    <xf numFmtId="2" fontId="9" fillId="3" borderId="1" xfId="1" applyNumberFormat="1" applyFont="1" applyFill="1" applyBorder="1" applyAlignment="1">
      <alignment vertical="bottom"/>
    </xf>
    <xf numFmtId="0" fontId="3" fillId="4" borderId="1" xfId="0" applyFont="1" applyFill="1" applyBorder="1" applyAlignment="1">
      <alignment horizontal="left" vertical="bottom" wrapText="1"/>
    </xf>
    <xf numFmtId="0" fontId="3" fillId="4" borderId="1" xfId="0" applyFont="1" applyFill="1" applyBorder="1" applyAlignment="1">
      <alignment vertical="bottom"/>
    </xf>
    <xf numFmtId="165" fontId="3" fillId="4" borderId="1" xfId="1" applyFont="1" applyFill="1" applyBorder="1" applyAlignment="1">
      <alignment vertical="bottom"/>
    </xf>
    <xf numFmtId="0" fontId="5" fillId="0" borderId="0" xfId="0" applyFont="1" applyAlignment="1">
      <alignment vertical="bottom"/>
    </xf>
    <xf numFmtId="165" fontId="5" fillId="0" borderId="0" xfId="1" applyFont="1" applyAlignment="1">
      <alignment vertical="bottom"/>
    </xf>
    <xf numFmtId="0" fontId="5" fillId="0" borderId="0" xfId="0" applyFont="1" applyFill="1" applyAlignment="1">
      <alignment horizontal="left" vertical="bottom"/>
    </xf>
    <xf numFmtId="0" fontId="7" fillId="0" borderId="0" xfId="0" applyFont="1" applyFill="1" applyBorder="1" applyAlignment="1">
      <alignment horizontal="left" vertical="bottom"/>
    </xf>
    <xf numFmtId="0" fontId="7" fillId="0" borderId="0" xfId="0" applyFont="1" applyFill="1" applyBorder="1" applyAlignment="1">
      <alignment vertical="bottom"/>
    </xf>
    <xf numFmtId="2" fontId="7" fillId="0" borderId="0" xfId="0" applyNumberFormat="1" applyFont="1" applyFill="1" applyBorder="1" applyAlignment="1">
      <alignment vertical="bottom"/>
    </xf>
    <xf numFmtId="0" fontId="5" fillId="0" borderId="0" xfId="0" applyFont="1" applyFill="1" applyAlignment="1">
      <alignment horizontal="center" vertical="bottom"/>
    </xf>
    <xf numFmtId="0" fontId="7" fillId="0" borderId="0" xfId="0" applyFont="1" applyAlignment="1">
      <alignment horizontal="left" vertical="bottom" wrapText="1"/>
    </xf>
    <xf numFmtId="0" fontId="8" fillId="0" borderId="0" xfId="0" applyFont="1" applyAlignment="1">
      <alignment vertical="bottom"/>
    </xf>
    <xf numFmtId="0" fontId="4" fillId="0" borderId="0" xfId="0" applyAlignment="1">
      <alignment vertical="bottom"/>
    </xf>
    <xf numFmtId="0" fontId="3" fillId="0" borderId="0" xfId="0" applyFont="1" applyAlignment="1">
      <alignment vertical="bottom"/>
    </xf>
    <xf numFmtId="0" fontId="15" fillId="0" borderId="0" xfId="0" applyFont="1" applyAlignment="1">
      <alignment horizontal="center" vertical="bottom"/>
    </xf>
    <xf numFmtId="0" fontId="9" fillId="0" borderId="1" xfId="0" applyFont="1" applyBorder="1" applyAlignment="1">
      <alignment horizontal="center" vertical="bottom"/>
    </xf>
    <xf numFmtId="0" fontId="7" fillId="0" borderId="1" xfId="0" applyFont="1" applyBorder="1" applyAlignment="1">
      <alignment horizontal="center" vertical="bottom"/>
    </xf>
    <xf numFmtId="0" fontId="12" fillId="0" borderId="1" xfId="0" applyFont="1" applyBorder="1" applyAlignment="1">
      <alignment horizontal="center" vertical="bottom"/>
    </xf>
    <xf numFmtId="0" fontId="10" fillId="0" borderId="0" xfId="0" applyFont="1" applyAlignment="1">
      <alignment horizontal="center" vertical="bottom"/>
    </xf>
    <xf numFmtId="0" fontId="8" fillId="0" borderId="1" xfId="0" applyFont="1" applyBorder="1" applyAlignment="1">
      <alignment horizontal="left" vertical="bottom"/>
    </xf>
    <xf numFmtId="0" fontId="18" fillId="0" borderId="1" xfId="0" applyFont="1" applyBorder="1" applyAlignment="1">
      <alignment horizontal="left" vertical="bottom"/>
    </xf>
    <xf numFmtId="165" fontId="7" fillId="0" borderId="1" xfId="1" applyFont="1" applyBorder="1" applyAlignment="1">
      <alignment horizontal="center" vertical="bottom"/>
    </xf>
    <xf numFmtId="0" fontId="7" fillId="0" borderId="1" xfId="0" applyFont="1" applyFill="1" applyBorder="1" applyAlignment="1">
      <alignment horizontal="left" vertical="bottom" wrapText="1"/>
    </xf>
    <xf numFmtId="0" fontId="13" fillId="2" borderId="1" xfId="0" applyFont="1" applyFill="1" applyBorder="1" applyAlignment="1">
      <alignment horizontal="center" vertical="bottom"/>
    </xf>
    <xf numFmtId="0" fontId="10" fillId="2" borderId="0" xfId="0" applyFont="1" applyFill="1" applyAlignment="1">
      <alignment horizontal="left" vertical="bottom"/>
    </xf>
    <xf numFmtId="166" fontId="5" fillId="0" borderId="0" xfId="1" applyNumberFormat="1" applyFont="1" applyAlignment="1">
      <alignment horizontal="left" vertical="bottom"/>
    </xf>
    <xf numFmtId="0" fontId="9" fillId="4" borderId="1" xfId="0" applyFont="1" applyFill="1" applyBorder="1" applyAlignment="1">
      <alignment horizontal="left" vertical="bottom" wrapText="1"/>
    </xf>
    <xf numFmtId="165" fontId="7" fillId="0" borderId="0" xfId="1" applyFont="1" applyAlignment="1">
      <alignment horizontal="center" vertical="bottom"/>
    </xf>
    <xf numFmtId="165" fontId="12" fillId="0" borderId="0" xfId="1" applyFont="1" applyAlignment="1">
      <alignment horizontal="center" vertical="bottom"/>
    </xf>
    <xf numFmtId="0" fontId="8" fillId="0" borderId="0" xfId="0" applyFont="1" applyAlignment="1">
      <alignment horizontal="center" vertical="bottom"/>
    </xf>
    <xf numFmtId="0" fontId="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bottom"/>
    </xf>
    <xf numFmtId="0" fontId="20" fillId="0" borderId="0" xfId="0" applyFont="1" applyAlignment="1">
      <alignment horizontal="left" vertical="bottom"/>
    </xf>
    <xf numFmtId="165" fontId="9" fillId="0" borderId="1" xfId="1" applyFont="1" applyBorder="1" applyAlignment="1">
      <alignment horizontal="left" vertical="bottom"/>
    </xf>
    <xf numFmtId="165" fontId="7" fillId="0" borderId="1" xfId="1" applyFont="1" applyBorder="1" applyAlignment="1">
      <alignment horizontal="left" vertical="bottom"/>
    </xf>
    <xf numFmtId="165" fontId="19" fillId="0" borderId="1" xfId="1" applyFont="1" applyBorder="1" applyAlignment="1">
      <alignment horizontal="center" vertical="bottom"/>
    </xf>
    <xf numFmtId="165" fontId="9" fillId="3" borderId="1" xfId="1" applyFont="1" applyFill="1" applyBorder="1" applyAlignment="1">
      <alignment horizontal="left" vertical="bottom"/>
    </xf>
    <xf numFmtId="165" fontId="7" fillId="3" borderId="1" xfId="1" applyFont="1" applyFill="1" applyBorder="1" applyAlignment="1">
      <alignment horizontal="left" vertical="bottom"/>
    </xf>
    <xf numFmtId="165" fontId="9" fillId="4" borderId="1" xfId="1" applyFont="1" applyFill="1" applyBorder="1" applyAlignment="1">
      <alignment horizontal="left" vertical="bottom"/>
    </xf>
    <xf numFmtId="165" fontId="3" fillId="4" borderId="1" xfId="1" applyFont="1" applyFill="1" applyBorder="1" applyAlignment="1">
      <alignment horizontal="center" vertical="bottom"/>
    </xf>
    <xf numFmtId="165" fontId="7" fillId="0" borderId="0" xfId="1" applyFont="1" applyAlignment="1">
      <alignment horizontal="left" vertical="bottom"/>
    </xf>
    <xf numFmtId="0" fontId="9" fillId="0" borderId="0" xfId="0" applyFont="1" applyAlignment="1">
      <alignment horizontal="left" vertical="bottom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bottom"/>
    </xf>
    <xf numFmtId="2" fontId="7" fillId="0" borderId="0" xfId="0" applyNumberFormat="1" applyFont="1" applyAlignment="1">
      <alignment horizontal="center" vertical="bottom"/>
    </xf>
    <xf numFmtId="0" fontId="7" fillId="0" borderId="1" xfId="0" applyFont="1" applyBorder="1" applyAlignment="1">
      <alignment vertical="bottom"/>
    </xf>
    <xf numFmtId="2" fontId="9" fillId="0" borderId="0" xfId="0" applyNumberFormat="1" applyFont="1" applyAlignment="1">
      <alignment horizontal="left" vertical="bottom"/>
    </xf>
    <xf numFmtId="2" fontId="9" fillId="3" borderId="1" xfId="0" applyNumberFormat="1" applyFont="1" applyFill="1" applyBorder="1" applyAlignment="1">
      <alignment horizontal="left" vertical="bottom"/>
    </xf>
    <xf numFmtId="0" fontId="13" fillId="0" borderId="0" xfId="0" applyNumberFormat="1" applyFont="1" applyAlignment="1">
      <alignment horizontal="center" vertical="bottom"/>
    </xf>
    <xf numFmtId="0" fontId="7" fillId="0" borderId="0" xfId="0" applyFont="1" applyAlignment="1">
      <alignment vertical="bottom"/>
    </xf>
    <xf numFmtId="0" fontId="22" fillId="0" borderId="0" xfId="0" applyFont="1" applyAlignment="1">
      <alignment vertical="bottom"/>
    </xf>
    <xf numFmtId="0" fontId="23" fillId="0" borderId="0" xfId="0" applyFont="1" applyAlignment="1">
      <alignment horizontal="center" vertical="bottom"/>
    </xf>
    <xf numFmtId="0" fontId="22" fillId="0" borderId="0" xfId="0" applyFont="1" applyAlignment="1">
      <alignment horizontal="center" vertical="bottom"/>
    </xf>
    <xf numFmtId="0" fontId="24" fillId="0" borderId="0" xfId="0" applyFont="1" applyAlignment="1">
      <alignment horizontal="center" vertical="bottom"/>
    </xf>
    <xf numFmtId="0" fontId="25" fillId="0" borderId="0" xfId="0" applyFont="1" applyAlignment="1">
      <alignment vertical="bottom"/>
    </xf>
    <xf numFmtId="0" fontId="26" fillId="0" borderId="0" xfId="0" applyFont="1" applyAlignment="1">
      <alignment vertical="bottom"/>
    </xf>
    <xf numFmtId="0" fontId="25" fillId="0" borderId="0" xfId="0" applyFont="1" applyAlignment="1">
      <alignment horizontal="center" vertical="bottom"/>
    </xf>
    <xf numFmtId="0" fontId="27" fillId="0" borderId="0" xfId="0" applyFont="1" applyAlignment="1">
      <alignment horizontal="center" vertical="bottom"/>
    </xf>
    <xf numFmtId="0" fontId="26" fillId="0" borderId="1" xfId="0" applyFont="1" applyBorder="1" applyAlignment="1">
      <alignment vertical="bottom"/>
    </xf>
    <xf numFmtId="0" fontId="26" fillId="0" borderId="1" xfId="0" applyFont="1" applyBorder="1" applyAlignment="1">
      <alignment horizontal="center" vertical="bottom"/>
    </xf>
    <xf numFmtId="16" fontId="26" fillId="0" borderId="1" xfId="0" applyNumberFormat="1" applyFont="1" applyBorder="1" applyAlignment="1">
      <alignment horizontal="center" vertical="bottom"/>
    </xf>
    <xf numFmtId="0" fontId="26" fillId="0" borderId="3" xfId="0" applyFont="1" applyBorder="1" applyAlignment="1">
      <alignment horizontal="center" vertical="bottom"/>
    </xf>
    <xf numFmtId="0" fontId="28" fillId="0" borderId="4" xfId="0" applyFont="1" applyBorder="1" applyAlignment="1">
      <alignment horizontal="center" vertical="bottom"/>
    </xf>
    <xf numFmtId="0" fontId="25" fillId="0" borderId="1" xfId="0" applyFont="1" applyBorder="1" applyAlignment="1">
      <alignment vertical="bottom"/>
    </xf>
    <xf numFmtId="0" fontId="25" fillId="0" borderId="1" xfId="0" applyFont="1" applyBorder="1" applyAlignment="1">
      <alignment horizontal="center" vertical="bottom"/>
    </xf>
    <xf numFmtId="0" fontId="25" fillId="0" borderId="3" xfId="0" applyFont="1" applyBorder="1" applyAlignment="1">
      <alignment horizontal="center" vertical="bottom"/>
    </xf>
    <xf numFmtId="0" fontId="27" fillId="0" borderId="4" xfId="0" applyFont="1" applyBorder="1" applyAlignment="1">
      <alignment horizontal="center" vertical="bottom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1" fontId="25" fillId="0" borderId="1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right" vertical="center"/>
    </xf>
    <xf numFmtId="1" fontId="25" fillId="0" borderId="1" xfId="0" applyNumberFormat="1" applyFont="1" applyBorder="1" applyAlignment="1">
      <alignment horizontal="right" vertical="bottom"/>
    </xf>
    <xf numFmtId="1" fontId="25" fillId="0" borderId="3" xfId="0" applyNumberFormat="1" applyFont="1" applyBorder="1" applyAlignment="1">
      <alignment horizontal="right" vertical="bottom"/>
    </xf>
    <xf numFmtId="0" fontId="25" fillId="0" borderId="1" xfId="0" applyFont="1" applyBorder="1" applyAlignment="1">
      <alignment vertical="bottom" wrapText="1"/>
    </xf>
    <xf numFmtId="0" fontId="25" fillId="0" borderId="1" xfId="0" applyFont="1" applyBorder="1" applyAlignment="1">
      <alignment horizontal="left" vertical="bottom" wrapText="1"/>
    </xf>
    <xf numFmtId="0" fontId="22" fillId="0" borderId="1" xfId="0" applyFont="1" applyBorder="1" applyAlignment="1">
      <alignment vertical="bottom"/>
    </xf>
    <xf numFmtId="166" fontId="26" fillId="0" borderId="1" xfId="1" applyNumberFormat="1" applyFont="1" applyBorder="1" applyAlignment="1">
      <alignment horizontal="center" vertical="bottom"/>
    </xf>
    <xf numFmtId="166" fontId="22" fillId="0" borderId="1" xfId="1" applyNumberFormat="1" applyFont="1" applyBorder="1" applyAlignment="1">
      <alignment horizontal="center" vertical="bottom"/>
    </xf>
    <xf numFmtId="166" fontId="22" fillId="0" borderId="3" xfId="1" applyNumberFormat="1" applyFont="1" applyBorder="1" applyAlignment="1">
      <alignment horizontal="center" vertical="bottom"/>
    </xf>
    <xf numFmtId="166" fontId="25" fillId="0" borderId="1" xfId="1" applyNumberFormat="1" applyFont="1" applyBorder="1" applyAlignment="1">
      <alignment horizontal="center" vertical="bottom"/>
    </xf>
    <xf numFmtId="166" fontId="25" fillId="0" borderId="3" xfId="1" applyNumberFormat="1" applyFont="1" applyBorder="1" applyAlignment="1">
      <alignment horizontal="center" vertical="bottom"/>
    </xf>
    <xf numFmtId="0" fontId="25" fillId="2" borderId="1" xfId="0" applyFont="1" applyFill="1" applyBorder="1" applyAlignment="1">
      <alignment vertical="bottom" wrapText="1"/>
    </xf>
    <xf numFmtId="0" fontId="22" fillId="2" borderId="0" xfId="0" applyFont="1" applyFill="1" applyAlignment="1">
      <alignment vertical="bottom"/>
    </xf>
    <xf numFmtId="0" fontId="25" fillId="2" borderId="1" xfId="0" applyFont="1" applyFill="1" applyBorder="1" applyAlignment="1">
      <alignment vertical="bottom"/>
    </xf>
    <xf numFmtId="164" fontId="25" fillId="2" borderId="1" xfId="1" applyNumberFormat="1" applyFont="1" applyFill="1" applyBorder="1" applyAlignment="1">
      <alignment horizontal="center" vertical="bottom"/>
    </xf>
    <xf numFmtId="0" fontId="27" fillId="2" borderId="4" xfId="0" applyFont="1" applyFill="1" applyBorder="1" applyAlignment="1">
      <alignment horizontal="center" vertical="bottom"/>
    </xf>
    <xf numFmtId="166" fontId="26" fillId="0" borderId="3" xfId="1" applyNumberFormat="1" applyFont="1" applyBorder="1" applyAlignment="1">
      <alignment horizontal="center" vertical="bottom"/>
    </xf>
    <xf numFmtId="0" fontId="26" fillId="3" borderId="1" xfId="0" applyFont="1" applyFill="1" applyBorder="1" applyAlignment="1">
      <alignment vertical="bottom"/>
    </xf>
    <xf numFmtId="166" fontId="26" fillId="3" borderId="1" xfId="1" applyNumberFormat="1" applyFont="1" applyFill="1" applyBorder="1" applyAlignment="1">
      <alignment horizontal="center" vertical="bottom"/>
    </xf>
    <xf numFmtId="166" fontId="26" fillId="3" borderId="3" xfId="1" applyNumberFormat="1" applyFont="1" applyFill="1" applyBorder="1" applyAlignment="1">
      <alignment horizontal="center" vertical="bottom"/>
    </xf>
    <xf numFmtId="166" fontId="22" fillId="0" borderId="0" xfId="0" applyNumberFormat="1" applyFont="1" applyAlignment="1">
      <alignment vertical="bottom"/>
    </xf>
    <xf numFmtId="167" fontId="22" fillId="0" borderId="0" xfId="0" applyNumberFormat="1" applyFont="1" applyAlignment="1">
      <alignment vertical="bottom"/>
    </xf>
    <xf numFmtId="166" fontId="22" fillId="0" borderId="0" xfId="1" applyNumberFormat="1" applyFont="1" applyAlignment="1">
      <alignment vertical="bottom"/>
    </xf>
    <xf numFmtId="166" fontId="25" fillId="2" borderId="1" xfId="1" applyNumberFormat="1" applyFont="1" applyFill="1" applyBorder="1" applyAlignment="1">
      <alignment horizontal="center" vertical="bottom"/>
    </xf>
    <xf numFmtId="0" fontId="23" fillId="0" borderId="4" xfId="0" applyFont="1" applyBorder="1" applyAlignment="1">
      <alignment horizontal="center" vertical="bottom"/>
    </xf>
    <xf numFmtId="0" fontId="25" fillId="3" borderId="1" xfId="0" applyFont="1" applyFill="1" applyBorder="1" applyAlignment="1">
      <alignment vertical="bottom"/>
    </xf>
    <xf numFmtId="166" fontId="25" fillId="3" borderId="1" xfId="1" applyNumberFormat="1" applyFont="1" applyFill="1" applyBorder="1" applyAlignment="1">
      <alignment horizontal="center" vertical="bottom"/>
    </xf>
    <xf numFmtId="165" fontId="22" fillId="0" borderId="0" xfId="1" applyFont="1" applyAlignment="1">
      <alignment vertical="bottom"/>
    </xf>
    <xf numFmtId="2" fontId="22" fillId="0" borderId="0" xfId="0" applyNumberFormat="1" applyFont="1" applyAlignment="1">
      <alignment vertical="bottom"/>
    </xf>
    <xf numFmtId="2" fontId="26" fillId="3" borderId="1" xfId="0" applyNumberFormat="1" applyFont="1" applyFill="1" applyBorder="1" applyAlignment="1">
      <alignment vertical="bottom"/>
    </xf>
    <xf numFmtId="2" fontId="26" fillId="3" borderId="1" xfId="1" applyNumberFormat="1" applyFont="1" applyFill="1" applyBorder="1" applyAlignment="1">
      <alignment horizontal="center" vertical="bottom"/>
    </xf>
    <xf numFmtId="1" fontId="27" fillId="0" borderId="0" xfId="0" applyNumberFormat="1" applyFont="1" applyBorder="1" applyAlignment="1">
      <alignment horizontal="center" vertical="bottom"/>
    </xf>
    <xf numFmtId="0" fontId="26" fillId="4" borderId="1" xfId="0" applyFont="1" applyFill="1" applyBorder="1" applyAlignment="1">
      <alignment horizontal="left" vertical="bottom" wrapText="1"/>
    </xf>
    <xf numFmtId="165" fontId="26" fillId="4" borderId="1" xfId="1" applyFont="1" applyFill="1" applyBorder="1" applyAlignment="1">
      <alignment horizontal="left" vertical="bottom"/>
    </xf>
    <xf numFmtId="165" fontId="24" fillId="4" borderId="1" xfId="1" applyFont="1" applyFill="1" applyBorder="1" applyAlignment="1">
      <alignment horizontal="center" vertical="bottom"/>
    </xf>
    <xf numFmtId="165" fontId="26" fillId="4" borderId="1" xfId="1" applyFont="1" applyFill="1" applyBorder="1" applyAlignment="1">
      <alignment horizontal="center" vertical="bottom"/>
    </xf>
    <xf numFmtId="165" fontId="22" fillId="0" borderId="0" xfId="1" applyFont="1" applyAlignment="1">
      <alignment horizontal="center" vertical="bottom"/>
    </xf>
    <xf numFmtId="165" fontId="23" fillId="0" borderId="0" xfId="1" applyFont="1" applyAlignment="1">
      <alignment horizontal="center" vertical="bottom"/>
    </xf>
    <xf numFmtId="165" fontId="22" fillId="0" borderId="0" xfId="1" applyFont="1" applyBorder="1" applyAlignment="1">
      <alignment horizontal="center" vertical="bottom"/>
    </xf>
    <xf numFmtId="0" fontId="22" fillId="0" borderId="0" xfId="0" applyFont="1" applyBorder="1" applyAlignment="1">
      <alignment horizontal="center" vertical="bottom"/>
    </xf>
    <xf numFmtId="0" fontId="25" fillId="0" borderId="0" xfId="0" applyFont="1" applyAlignment="1">
      <alignment horizontal="left" vertical="bottom" wrapText="1"/>
    </xf>
    <xf numFmtId="0" fontId="25" fillId="0" borderId="0" xfId="0" applyFont="1" applyBorder="1" applyAlignment="1">
      <alignment horizontal="center" vertical="bottom"/>
    </xf>
    <xf numFmtId="0" fontId="25" fillId="0" borderId="0" xfId="0" applyFont="1" applyAlignment="1">
      <alignment horizontal="left" vertical="bottom"/>
    </xf>
    <xf numFmtId="0" fontId="26" fillId="0" borderId="0" xfId="0" applyFont="1" applyAlignment="1">
      <alignment horizontal="left" vertical="bottom"/>
    </xf>
    <xf numFmtId="0" fontId="26" fillId="0" borderId="0" xfId="0" applyFont="1" applyAlignment="1">
      <alignment horizontal="center" vertical="bottom"/>
    </xf>
    <xf numFmtId="0" fontId="29" fillId="0" borderId="0" xfId="0" applyFont="1" applyAlignment="1">
      <alignment horizontal="center" vertical="bottom"/>
    </xf>
    <xf numFmtId="0" fontId="25" fillId="0" borderId="2" xfId="0" applyFont="1" applyBorder="1" applyAlignment="1">
      <alignment vertical="bottom"/>
    </xf>
    <xf numFmtId="0" fontId="25" fillId="0" borderId="2" xfId="0" applyFont="1" applyBorder="1" applyAlignment="1">
      <alignment horizontal="center" vertical="bottom"/>
    </xf>
    <xf numFmtId="0" fontId="22" fillId="0" borderId="0" xfId="0" applyFont="1" applyAlignment="1">
      <alignment horizontal="left" vertical="bottom"/>
    </xf>
    <xf numFmtId="0" fontId="30" fillId="0" borderId="0" xfId="0" applyFont="1" applyAlignment="1">
      <alignment horizontal="center" vertical="bottom"/>
    </xf>
    <xf numFmtId="0" fontId="24" fillId="0" borderId="0" xfId="0" applyFont="1" applyAlignment="1">
      <alignment horizontal="left" vertical="bottom"/>
    </xf>
    <xf numFmtId="0" fontId="14" fillId="0" borderId="0" xfId="0" applyFont="1" applyFill="1" applyAlignment="1">
      <alignment horizontal="center" vertical="bottom"/>
    </xf>
    <xf numFmtId="0" fontId="9" fillId="0" borderId="0" xfId="0" applyFont="1" applyAlignment="1">
      <alignment horizontal="center" vertical="bottom"/>
    </xf>
    <xf numFmtId="0" fontId="13" fillId="0" borderId="0" xfId="0" applyFont="1" applyFill="1" applyAlignment="1">
      <alignment horizontal="center" vertical="bottom"/>
    </xf>
    <xf numFmtId="0" fontId="8" fillId="0" borderId="1" xfId="0" applyFont="1" applyBorder="1" applyAlignment="1">
      <alignment vertical="bottom" wrapText="1"/>
    </xf>
    <xf numFmtId="1" fontId="8" fillId="0" borderId="1" xfId="0" applyNumberFormat="1" applyFont="1" applyBorder="1" applyAlignment="1">
      <alignment horizontal="right" vertical="bottom"/>
    </xf>
    <xf numFmtId="0" fontId="4" fillId="0" borderId="1" xfId="0" applyBorder="1" applyAlignment="1">
      <alignment vertical="bottom" wrapText="1"/>
    </xf>
    <xf numFmtId="0" fontId="8" fillId="0" borderId="1" xfId="0" applyFont="1" applyBorder="1" applyAlignment="1">
      <alignment vertical="bottom"/>
    </xf>
    <xf numFmtId="0" fontId="4" fillId="0" borderId="1" xfId="0" applyBorder="1" applyAlignment="1">
      <alignment vertical="bottom"/>
    </xf>
    <xf numFmtId="0" fontId="3" fillId="0" borderId="1" xfId="0" applyFont="1" applyBorder="1" applyAlignment="1">
      <alignment vertical="bottom" wrapText="1"/>
    </xf>
    <xf numFmtId="165" fontId="3" fillId="0" borderId="1" xfId="1" applyFont="1" applyBorder="1" applyAlignment="1">
      <alignment vertical="bottom"/>
    </xf>
    <xf numFmtId="165" fontId="3" fillId="0" borderId="1" xfId="1" applyFont="1" applyBorder="1" applyAlignment="1">
      <alignment horizontal="center" vertical="bottom"/>
    </xf>
    <xf numFmtId="165" fontId="4" fillId="0" borderId="1" xfId="1" applyFont="1" applyBorder="1" applyAlignment="1">
      <alignment vertical="bottom"/>
    </xf>
    <xf numFmtId="165" fontId="4" fillId="0" borderId="1" xfId="1" applyFont="1" applyBorder="1" applyAlignment="1">
      <alignment horizontal="center" vertical="bottom"/>
    </xf>
    <xf numFmtId="0" fontId="8" fillId="0" borderId="0" xfId="0" applyFont="1" applyAlignment="1">
      <alignment vertical="bottom"/>
    </xf>
    <xf numFmtId="0" fontId="8" fillId="0" borderId="1" xfId="0" applyFont="1" applyFill="1" applyBorder="1" applyAlignment="1">
      <alignment vertical="bottom"/>
    </xf>
    <xf numFmtId="165" fontId="8" fillId="0" borderId="1" xfId="1" applyFont="1" applyBorder="1" applyAlignment="1">
      <alignment vertical="bottom"/>
    </xf>
    <xf numFmtId="0" fontId="8" fillId="0" borderId="1" xfId="0" applyFont="1" applyFill="1" applyBorder="1" applyAlignment="1">
      <alignment vertical="bottom" wrapText="1"/>
    </xf>
    <xf numFmtId="0" fontId="4" fillId="0" borderId="1" xfId="0" applyFill="1" applyBorder="1" applyAlignment="1">
      <alignment vertical="bottom"/>
    </xf>
    <xf numFmtId="0" fontId="8" fillId="2" borderId="1" xfId="0" applyFont="1" applyFill="1" applyBorder="1" applyAlignment="1">
      <alignment vertical="bottom"/>
    </xf>
    <xf numFmtId="0" fontId="8" fillId="2" borderId="1" xfId="0" applyFont="1" applyFill="1" applyBorder="1" applyAlignment="1">
      <alignment vertical="bottom" wrapText="1"/>
    </xf>
    <xf numFmtId="0" fontId="3" fillId="0" borderId="1" xfId="0" applyFont="1" applyFill="1" applyBorder="1" applyAlignment="1">
      <alignment vertical="bottom"/>
    </xf>
    <xf numFmtId="0" fontId="3" fillId="3" borderId="1" xfId="0" applyFont="1" applyFill="1" applyBorder="1" applyAlignment="1">
      <alignment vertical="bottom"/>
    </xf>
    <xf numFmtId="165" fontId="3" fillId="3" borderId="1" xfId="1" applyFont="1" applyFill="1" applyBorder="1" applyAlignment="1">
      <alignment vertical="bottom"/>
    </xf>
    <xf numFmtId="165" fontId="3" fillId="3" borderId="1" xfId="1" applyFont="1" applyFill="1" applyBorder="1" applyAlignment="1">
      <alignment horizontal="center" vertical="bottom"/>
    </xf>
    <xf numFmtId="0" fontId="3" fillId="0" borderId="1" xfId="0" applyFont="1" applyBorder="1" applyAlignment="1">
      <alignment vertical="bottom"/>
    </xf>
    <xf numFmtId="0" fontId="8" fillId="0" borderId="1" xfId="0" applyFont="1" applyBorder="1" applyAlignment="1">
      <alignment vertical="top" wrapText="1"/>
    </xf>
    <xf numFmtId="0" fontId="8" fillId="3" borderId="1" xfId="0" applyFont="1" applyFill="1" applyBorder="1" applyAlignment="1">
      <alignment vertical="bottom"/>
    </xf>
    <xf numFmtId="165" fontId="4" fillId="3" borderId="1" xfId="1" applyFont="1" applyFill="1" applyBorder="1" applyAlignment="1">
      <alignment vertical="bottom"/>
    </xf>
    <xf numFmtId="165" fontId="4" fillId="3" borderId="1" xfId="1" applyFont="1" applyFill="1" applyBorder="1" applyAlignment="1">
      <alignment horizontal="center" vertical="bottom"/>
    </xf>
    <xf numFmtId="0" fontId="3" fillId="0" borderId="0" xfId="0" applyFont="1" applyAlignment="1">
      <alignment vertical="bottom"/>
    </xf>
    <xf numFmtId="0" fontId="15" fillId="0" borderId="0" xfId="0" applyFont="1" applyFill="1" applyAlignment="1">
      <alignment horizontal="center" vertical="bottom"/>
    </xf>
    <xf numFmtId="0" fontId="3" fillId="4" borderId="1" xfId="0" applyFont="1" applyFill="1" applyBorder="1" applyAlignment="1">
      <alignment vertical="bottom"/>
    </xf>
    <xf numFmtId="165" fontId="3" fillId="4" borderId="1" xfId="1" applyFont="1" applyFill="1" applyBorder="1" applyAlignment="1">
      <alignment vertical="bottom"/>
    </xf>
    <xf numFmtId="165" fontId="14" fillId="0" borderId="0" xfId="1" applyFont="1" applyAlignment="1">
      <alignment vertical="bottom"/>
    </xf>
    <xf numFmtId="165" fontId="15" fillId="0" borderId="0" xfId="1" applyFont="1" applyAlignment="1">
      <alignment horizontal="center" vertical="bottom"/>
    </xf>
    <xf numFmtId="165" fontId="3" fillId="0" borderId="0" xfId="1" applyFont="1" applyAlignment="1">
      <alignment horizontal="center" vertical="bottom"/>
    </xf>
    <xf numFmtId="165" fontId="4" fillId="0" borderId="0" xfId="1" applyFont="1" applyAlignment="1">
      <alignment vertical="bottom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vertical="bottom"/>
    </xf>
    <xf numFmtId="16" fontId="7" fillId="0" borderId="0" xfId="0" applyNumberFormat="1" applyFont="1" applyAlignment="1">
      <alignment horizontal="left" vertical="bottom"/>
    </xf>
    <xf numFmtId="16" fontId="7" fillId="0" borderId="0" xfId="0" applyNumberFormat="1" applyFont="1" applyAlignment="1">
      <alignment horizontal="center" vertical="bottom"/>
    </xf>
    <xf numFmtId="165" fontId="7" fillId="0" borderId="1" xfId="1" applyFont="1" applyBorder="1" applyAlignment="1">
      <alignment vertical="bottom"/>
    </xf>
    <xf numFmtId="165" fontId="9" fillId="0" borderId="1" xfId="1" applyFont="1" applyBorder="1" applyAlignment="1">
      <alignment vertical="bottom"/>
    </xf>
    <xf numFmtId="165" fontId="9" fillId="3" borderId="1" xfId="1" applyFont="1" applyFill="1" applyBorder="1" applyAlignment="1">
      <alignment vertical="bottom"/>
    </xf>
    <xf numFmtId="165" fontId="7" fillId="3" borderId="1" xfId="1" applyFont="1" applyFill="1" applyBorder="1" applyAlignment="1">
      <alignment vertical="bottom"/>
    </xf>
    <xf numFmtId="2" fontId="7" fillId="0" borderId="0" xfId="0" applyNumberFormat="1" applyFont="1" applyAlignment="1">
      <alignment horizontal="left" vertical="bottom"/>
    </xf>
    <xf numFmtId="2" fontId="9" fillId="3" borderId="7" xfId="0" applyNumberFormat="1" applyFont="1" applyFill="1" applyBorder="1" applyAlignment="1">
      <alignment horizontal="left" vertical="bottom"/>
    </xf>
    <xf numFmtId="2" fontId="9" fillId="3" borderId="7" xfId="1" applyNumberFormat="1" applyFont="1" applyFill="1" applyBorder="1" applyAlignment="1">
      <alignment horizontal="center" vertical="bottom"/>
    </xf>
    <xf numFmtId="165" fontId="9" fillId="3" borderId="7" xfId="1" applyFont="1" applyFill="1" applyBorder="1" applyAlignment="1">
      <alignment horizontal="center" vertical="bottom"/>
    </xf>
    <xf numFmtId="0" fontId="9" fillId="0" borderId="0" xfId="0" applyFont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 wrapText="1"/>
    </xf>
    <xf numFmtId="165" fontId="9" fillId="4" borderId="9" xfId="1" applyFont="1" applyFill="1" applyBorder="1" applyAlignment="1">
      <alignment horizontal="center" vertical="center"/>
    </xf>
    <xf numFmtId="165" fontId="9" fillId="4" borderId="9" xfId="1" applyFont="1" applyFill="1" applyBorder="1">
      <alignment vertical="center"/>
    </xf>
    <xf numFmtId="165" fontId="9" fillId="4" borderId="10" xfId="1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7" fillId="0" borderId="0" xfId="1" applyFont="1" applyAlignment="1">
      <alignment vertical="bottom"/>
    </xf>
    <xf numFmtId="165" fontId="12" fillId="0" borderId="0" xfId="1" applyFont="1" applyAlignment="1">
      <alignment vertical="bottom"/>
    </xf>
    <xf numFmtId="0" fontId="12" fillId="0" borderId="0" xfId="0" applyFont="1" applyAlignment="1">
      <alignment vertical="bottom"/>
    </xf>
    <xf numFmtId="0" fontId="9" fillId="3" borderId="1" xfId="0" applyFont="1" applyFill="1" applyBorder="1" applyAlignment="1">
      <alignment horizontal="center" vertical="bottom"/>
    </xf>
    <xf numFmtId="0" fontId="7" fillId="3" borderId="1" xfId="0" applyFont="1" applyFill="1" applyBorder="1" applyAlignment="1">
      <alignment horizontal="center" vertical="bottom"/>
    </xf>
    <xf numFmtId="2" fontId="9" fillId="3" borderId="1" xfId="0" applyNumberFormat="1" applyFont="1" applyFill="1" applyBorder="1" applyAlignment="1">
      <alignment horizontal="center" vertical="bottom"/>
    </xf>
    <xf numFmtId="2" fontId="13" fillId="0" borderId="0" xfId="0" applyNumberFormat="1" applyFont="1" applyAlignment="1">
      <alignment horizontal="center" vertical="bottom"/>
    </xf>
    <xf numFmtId="2" fontId="9" fillId="4" borderId="1" xfId="0" applyNumberFormat="1" applyFont="1" applyFill="1" applyBorder="1" applyAlignment="1">
      <alignment horizontal="center" vertical="bottom"/>
    </xf>
    <xf numFmtId="2" fontId="9" fillId="4" borderId="1" xfId="1" applyNumberFormat="1" applyFont="1" applyFill="1" applyBorder="1" applyAlignment="1">
      <alignment horizontal="center" vertical="bottom"/>
    </xf>
    <xf numFmtId="2" fontId="31" fillId="4" borderId="1" xfId="1" applyNumberFormat="1" applyFont="1" applyFill="1" applyBorder="1" applyAlignment="1">
      <alignment horizontal="center" vertical="bottom"/>
    </xf>
    <xf numFmtId="1" fontId="13" fillId="0" borderId="0" xfId="0" applyNumberFormat="1" applyFont="1" applyAlignment="1">
      <alignment horizontal="center" vertical="bottom"/>
    </xf>
    <xf numFmtId="0" fontId="7" fillId="2" borderId="0" xfId="0" applyFont="1" applyFill="1" applyAlignment="1">
      <alignment horizontal="center" vertical="bottom"/>
    </xf>
    <xf numFmtId="0" fontId="3" fillId="0" borderId="1" xfId="0" applyFont="1" applyBorder="1" applyAlignment="1">
      <alignment horizontal="left" vertical="bottom"/>
    </xf>
    <xf numFmtId="0" fontId="3" fillId="0" borderId="1" xfId="0" applyFont="1" applyBorder="1" applyAlignment="1">
      <alignment horizontal="center" vertical="bottom"/>
    </xf>
    <xf numFmtId="0" fontId="4" fillId="0" borderId="1" xfId="0" applyBorder="1" applyAlignment="1">
      <alignment horizontal="center" vertical="bottom"/>
    </xf>
    <xf numFmtId="0" fontId="4" fillId="0" borderId="1" xfId="0" applyBorder="1" applyAlignment="1">
      <alignment horizontal="left" vertical="bottom" wrapText="1"/>
    </xf>
    <xf numFmtId="0" fontId="4" fillId="0" borderId="1" xfId="0" applyBorder="1" applyAlignment="1">
      <alignment horizontal="left" vertical="bottom"/>
    </xf>
    <xf numFmtId="0" fontId="8" fillId="0" borderId="1" xfId="0" applyFont="1" applyBorder="1" applyAlignment="1">
      <alignment horizontal="left" vertical="bottom" wrapText="1"/>
    </xf>
    <xf numFmtId="0" fontId="3" fillId="3" borderId="1" xfId="0" applyFont="1" applyFill="1" applyBorder="1" applyAlignment="1">
      <alignment horizontal="left" vertical="bottom"/>
    </xf>
    <xf numFmtId="0" fontId="8" fillId="3" borderId="1" xfId="0" applyFont="1" applyFill="1" applyBorder="1" applyAlignment="1">
      <alignment horizontal="left" vertical="bottom" wrapText="1"/>
    </xf>
    <xf numFmtId="0" fontId="3" fillId="4" borderId="1" xfId="0" applyFont="1" applyFill="1" applyBorder="1" applyAlignment="1">
      <alignment horizontal="left" vertical="bottom"/>
    </xf>
    <xf numFmtId="0" fontId="9" fillId="4" borderId="1" xfId="0" applyFont="1" applyFill="1" applyBorder="1" applyAlignment="1">
      <alignment horizontal="center" vertical="bottom"/>
    </xf>
    <xf numFmtId="165" fontId="4" fillId="0" borderId="0" xfId="1" applyFont="1" applyAlignment="1">
      <alignment horizontal="center" vertical="bottom"/>
    </xf>
    <xf numFmtId="165" fontId="14" fillId="0" borderId="0" xfId="1" applyFont="1" applyAlignment="1">
      <alignment horizontal="center" vertical="bottom"/>
    </xf>
    <xf numFmtId="2" fontId="4" fillId="0" borderId="0" xfId="0" applyNumberFormat="1" applyAlignment="1">
      <alignment horizontal="center" vertical="bottom"/>
    </xf>
    <xf numFmtId="0" fontId="4" fillId="0" borderId="0" xfId="0" applyAlignment="1">
      <alignment horizontal="left" vertical="bottom" wrapText="1"/>
    </xf>
    <xf numFmtId="0" fontId="8" fillId="0" borderId="0" xfId="0" applyFont="1" applyAlignment="1">
      <alignment horizontal="left" vertical="bottom" wrapText="1"/>
    </xf>
    <xf numFmtId="0" fontId="6" fillId="0" borderId="1" xfId="0" applyFont="1" applyBorder="1" applyAlignment="1">
      <alignment vertical="bottom" wrapText="1"/>
    </xf>
    <xf numFmtId="0" fontId="6" fillId="0" borderId="1" xfId="0" applyFont="1" applyBorder="1" applyAlignment="1">
      <alignment horizontal="center" vertical="bottom"/>
    </xf>
    <xf numFmtId="1" fontId="6" fillId="0" borderId="1" xfId="0" applyNumberFormat="1" applyFont="1" applyBorder="1" applyAlignment="1">
      <alignment horizontal="right" vertical="bottom"/>
    </xf>
    <xf numFmtId="165" fontId="4" fillId="0" borderId="1" xfId="1" applyFont="1" applyBorder="1" applyAlignment="1">
      <alignment vertical="bottom" wrapText="1"/>
    </xf>
    <xf numFmtId="0" fontId="8" fillId="2" borderId="1" xfId="0" applyFont="1" applyFill="1" applyBorder="1" applyAlignment="1">
      <alignment horizontal="center" vertical="bottom"/>
    </xf>
    <xf numFmtId="1" fontId="8" fillId="2" borderId="1" xfId="0" applyNumberFormat="1" applyFont="1" applyFill="1" applyBorder="1" applyAlignment="1">
      <alignment horizontal="right" vertical="bottom"/>
    </xf>
    <xf numFmtId="0" fontId="3" fillId="2" borderId="1" xfId="0" applyFont="1" applyFill="1" applyBorder="1" applyAlignment="1">
      <alignment vertical="bottom"/>
    </xf>
    <xf numFmtId="165" fontId="3" fillId="2" borderId="1" xfId="1" applyFont="1" applyFill="1" applyBorder="1" applyAlignment="1">
      <alignment horizontal="center" vertical="bottom"/>
    </xf>
    <xf numFmtId="165" fontId="8" fillId="2" borderId="1" xfId="1" applyFont="1" applyFill="1" applyBorder="1" applyAlignment="1">
      <alignment horizontal="center" vertical="bottom"/>
    </xf>
    <xf numFmtId="0" fontId="8" fillId="2" borderId="1" xfId="0" applyFont="1" applyFill="1" applyBorder="1" applyAlignment="1">
      <alignment vertical="bottom"/>
    </xf>
    <xf numFmtId="0" fontId="14" fillId="0" borderId="4" xfId="0" applyFont="1" applyFill="1" applyBorder="1" applyAlignment="1">
      <alignment horizontal="center" vertical="bottom"/>
    </xf>
    <xf numFmtId="0" fontId="4" fillId="0" borderId="0" xfId="0" applyBorder="1" applyAlignment="1">
      <alignment vertical="bottom"/>
    </xf>
    <xf numFmtId="164" fontId="4" fillId="0" borderId="0" xfId="0" applyNumberFormat="1" applyAlignment="1">
      <alignment vertical="bottom"/>
    </xf>
    <xf numFmtId="0" fontId="8" fillId="3" borderId="1" xfId="0" applyFont="1" applyFill="1" applyBorder="1" applyAlignment="1">
      <alignment vertical="bottom" wrapText="1"/>
    </xf>
    <xf numFmtId="165" fontId="8" fillId="3" borderId="1" xfId="1" applyFont="1" applyFill="1" applyBorder="1" applyAlignment="1">
      <alignment horizontal="center" vertical="bottom"/>
    </xf>
    <xf numFmtId="0" fontId="8" fillId="2" borderId="0" xfId="0" applyFont="1" applyFill="1" applyBorder="1" applyAlignment="1">
      <alignment vertical="bottom"/>
    </xf>
    <xf numFmtId="165" fontId="8" fillId="2" borderId="0" xfId="1" applyFont="1" applyFill="1" applyBorder="1" applyAlignment="1">
      <alignment horizontal="center" vertical="bottom"/>
    </xf>
    <xf numFmtId="0" fontId="6" fillId="0" borderId="0" xfId="0" applyFont="1" applyAlignment="1">
      <alignment vertical="bottom"/>
    </xf>
    <xf numFmtId="0" fontId="1" fillId="0" borderId="0" xfId="0" applyFont="1" applyAlignment="1">
      <alignment vertical="bottom"/>
    </xf>
    <xf numFmtId="0" fontId="3" fillId="2" borderId="1" xfId="0" applyFont="1" applyFill="1" applyBorder="1" applyAlignment="1">
      <alignment horizontal="center" vertical="bottom"/>
    </xf>
    <xf numFmtId="0" fontId="14" fillId="0" borderId="11" xfId="0" applyFont="1" applyFill="1" applyBorder="1" applyAlignment="1">
      <alignment horizontal="center" vertical="bottom"/>
    </xf>
    <xf numFmtId="0" fontId="3" fillId="2" borderId="1" xfId="0" applyFont="1" applyFill="1" applyBorder="1" applyAlignment="1">
      <alignment vertical="bottom" wrapText="1"/>
    </xf>
    <xf numFmtId="165" fontId="8" fillId="0" borderId="1" xfId="1" applyFont="1" applyBorder="1" applyAlignment="1">
      <alignment horizontal="center" vertical="bottom"/>
    </xf>
    <xf numFmtId="0" fontId="3" fillId="3" borderId="1" xfId="0" applyFont="1" applyFill="1" applyBorder="1" applyAlignment="1">
      <alignment horizontal="center" vertical="bottom"/>
    </xf>
    <xf numFmtId="0" fontId="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bottom"/>
    </xf>
    <xf numFmtId="0" fontId="3" fillId="4" borderId="1" xfId="0" applyFont="1" applyFill="1" applyBorder="1" applyAlignment="1">
      <alignment horizontal="center" vertical="bottom"/>
    </xf>
    <xf numFmtId="0" fontId="3" fillId="4" borderId="0" xfId="0" applyFont="1" applyFill="1" applyBorder="1" applyAlignment="1">
      <alignment vertical="bottom"/>
    </xf>
    <xf numFmtId="0" fontId="3" fillId="4" borderId="0" xfId="0" applyFont="1" applyFill="1" applyBorder="1" applyAlignment="1">
      <alignment horizontal="center" vertical="bottom"/>
    </xf>
    <xf numFmtId="165" fontId="3" fillId="4" borderId="0" xfId="1" applyFont="1" applyFill="1" applyBorder="1" applyAlignment="1">
      <alignment horizontal="center" vertical="bottom"/>
    </xf>
    <xf numFmtId="0" fontId="4" fillId="0" borderId="0" xfId="0" applyBorder="1" applyAlignment="1">
      <alignment horizontal="center" vertical="bottom"/>
    </xf>
    <xf numFmtId="165" fontId="4" fillId="0" borderId="0" xfId="1" applyFont="1" applyBorder="1" applyAlignment="1">
      <alignment horizontal="center" vertical="bottom"/>
    </xf>
    <xf numFmtId="0" fontId="4" fillId="0" borderId="1" xfId="1" applyNumberFormat="1" applyFont="1" applyBorder="1" applyAlignment="1">
      <alignment horizontal="right" vertical="bottom"/>
    </xf>
    <xf numFmtId="0" fontId="6" fillId="0" borderId="1" xfId="1" applyNumberFormat="1" applyFont="1" applyBorder="1" applyAlignment="1">
      <alignment horizontal="right" vertical="bottom"/>
    </xf>
    <xf numFmtId="0" fontId="8" fillId="2" borderId="1" xfId="1" applyNumberFormat="1" applyFont="1" applyFill="1" applyBorder="1" applyAlignment="1">
      <alignment horizontal="right" vertical="bottom"/>
    </xf>
    <xf numFmtId="0" fontId="3" fillId="2" borderId="1" xfId="1" applyNumberFormat="1" applyFont="1" applyFill="1" applyBorder="1" applyAlignment="1">
      <alignment horizontal="right" vertical="bottom"/>
    </xf>
    <xf numFmtId="0" fontId="3" fillId="0" borderId="1" xfId="1" applyNumberFormat="1" applyFont="1" applyBorder="1" applyAlignment="1">
      <alignment horizontal="right" vertical="bottom"/>
    </xf>
    <xf numFmtId="165" fontId="6" fillId="0" borderId="1" xfId="1" applyFont="1" applyBorder="1" applyAlignment="1">
      <alignment horizontal="center" vertical="bottom"/>
    </xf>
    <xf numFmtId="0" fontId="8" fillId="2" borderId="1" xfId="0" applyFont="1" applyFill="1" applyBorder="1" applyAlignment="1">
      <alignment horizontal="center" vertical="bottom" wrapText="1"/>
    </xf>
    <xf numFmtId="0" fontId="3" fillId="2" borderId="1" xfId="0" applyFont="1" applyFill="1" applyBorder="1" applyAlignment="1">
      <alignment horizontal="center" vertical="bottom" wrapText="1"/>
    </xf>
    <xf numFmtId="0" fontId="3" fillId="3" borderId="1" xfId="0" applyFont="1" applyFill="1" applyBorder="1" applyAlignment="1">
      <alignment horizontal="center" vertical="bottom" wrapText="1"/>
    </xf>
    <xf numFmtId="165" fontId="6" fillId="3" borderId="1" xfId="1" applyFont="1" applyFill="1" applyBorder="1" applyAlignment="1">
      <alignment horizontal="center" vertical="bottom"/>
    </xf>
    <xf numFmtId="2" fontId="3" fillId="4" borderId="1" xfId="0" applyNumberFormat="1" applyFont="1" applyFill="1" applyBorder="1" applyAlignment="1">
      <alignment horizontal="center" vertical="bottom"/>
    </xf>
    <xf numFmtId="0" fontId="9" fillId="0" borderId="0" xfId="0" applyFont="1" applyAlignment="1">
      <alignment vertical="bottom"/>
    </xf>
    <xf numFmtId="0" fontId="5" fillId="0" borderId="0" xfId="0" applyFont="1" applyAlignment="1">
      <alignment vertical="bottom"/>
    </xf>
  </cellXfs>
  <cellStyles count="2">
    <cellStyle name="常规" xfId="0" builtinId="0"/>
    <cellStyle name="千位分隔" xfId="1" builtinId="3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www.wps.cn/officeDocument/2020/cellImage" Target="cellimages.xml"/><Relationship Id="rId16" Type="http://schemas.openxmlformats.org/officeDocument/2006/relationships/sharedStrings" Target="sharedStrings.xml"/><Relationship Id="rId17" Type="http://schemas.openxmlformats.org/officeDocument/2006/relationships/styles" Target="styles.xml"/><Relationship Id="rId18" Type="http://schemas.openxmlformats.org/officeDocument/2006/relationships/theme" Target="theme/theme1.xml"/></Relationship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152274</xdr:colOff>
      <xdr:row>41</xdr:row>
      <xdr:rowOff>190090</xdr:rowOff>
    </xdr:from>
    <xdr:to>
      <xdr:col>4</xdr:col>
      <xdr:colOff>227985</xdr:colOff>
      <xdr:row>47</xdr:row>
      <xdr:rowOff>75902</xdr:rowOff>
    </xdr:to>
    <xdr:sp macro="" textlink="">
      <xdr:nvSpPr>
        <xdr:cNvPr id="2" name=" "/>
        <xdr:cNvSpPr txBox="1"/>
      </xdr:nvSpPr>
      <xdr:spPr>
        <a:xfrm>
          <a:off x="2962275" y="7115175"/>
          <a:ext cx="76200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N79"/>
  <sheetViews>
    <sheetView tabSelected="1" workbookViewId="0">
      <selection activeCell="D1" sqref="D1"/>
    </sheetView>
  </sheetViews>
  <sheetFormatPr defaultRowHeight="12.0" defaultColWidth="9"/>
  <cols>
    <col min="1" max="1" customWidth="1" width="33.285156" style="1"/>
    <col min="2" max="2" customWidth="1" width="8.285156" style="1"/>
    <col min="3" max="3" customWidth="1" width="11.0" style="2"/>
    <col min="4" max="5" customWidth="1" width="10.7109375" style="2"/>
    <col min="6" max="6" customWidth="1" width="12.285156" style="2"/>
    <col min="7" max="7" customWidth="1" width="13.140625" style="2"/>
    <col min="8" max="8" customWidth="1" width="12.140625" style="2"/>
    <col min="9" max="9" customWidth="1" width="12.425781" style="2"/>
    <col min="10" max="10" customWidth="1" bestFit="1" width="12.425781" style="2"/>
    <col min="11" max="11" customWidth="1" width="12.285156" style="2"/>
    <col min="12" max="12" customWidth="1" width="12.5703125" style="2"/>
    <col min="13" max="13" customWidth="1" width="14.0" style="2"/>
    <col min="14" max="14" customWidth="1" width="12.5703125" style="2"/>
    <col min="15" max="15" customWidth="1" width="15.0" style="1"/>
    <col min="16" max="16" customWidth="1" width="11.855469" style="1"/>
    <col min="17" max="17" customWidth="1" width="11.285156" style="1"/>
    <col min="18" max="18" customWidth="1" width="11.855469" style="1"/>
    <col min="19" max="19" customWidth="1" width="11.285156" style="1"/>
    <col min="20" max="20" customWidth="1" width="10.285156" style="1"/>
    <col min="21" max="21" customWidth="0" width="9.285156" style="1"/>
    <col min="22" max="22" customWidth="1" width="11.5703125" style="1"/>
    <col min="23" max="23" customWidth="1" width="12.285156" style="1"/>
    <col min="24" max="27" customWidth="0" width="9.285156" style="1"/>
    <col min="28" max="28" customWidth="1" width="16.0" style="1"/>
    <col min="29" max="16384" customWidth="0" width="9.285156" style="1"/>
  </cols>
  <sheetData>
    <row r="1" spans="8:8">
      <c r="C1" s="3"/>
      <c r="D1" s="4" t="s">
        <v>517</v>
      </c>
      <c r="E1" s="3"/>
      <c r="F1" s="3"/>
      <c r="G1" s="3"/>
      <c r="H1" s="3"/>
      <c r="I1" s="3"/>
      <c r="J1" s="3"/>
      <c r="K1" s="3"/>
      <c r="L1" s="3"/>
      <c r="M1" s="3"/>
      <c r="Q1" s="5"/>
      <c r="S1" s="6"/>
      <c r="AB1" s="7"/>
      <c r="AC1" s="8"/>
      <c r="AD1" s="8"/>
      <c r="AE1" s="8"/>
      <c r="AF1" s="8"/>
      <c r="AG1" s="8"/>
      <c r="AH1" s="8"/>
      <c r="AI1" s="8"/>
    </row>
    <row r="2" spans="8:8" s="7" ht="16.5" customFormat="1" customHeight="1">
      <c r="A2" s="9"/>
      <c r="B2" s="10" t="s">
        <v>2</v>
      </c>
      <c r="C2" s="11" t="s">
        <v>70</v>
      </c>
      <c r="D2" s="11" t="s">
        <v>71</v>
      </c>
      <c r="E2" s="11" t="s">
        <v>72</v>
      </c>
      <c r="F2" s="11" t="s">
        <v>66</v>
      </c>
      <c r="G2" s="11" t="s">
        <v>73</v>
      </c>
      <c r="H2" s="11" t="s">
        <v>74</v>
      </c>
      <c r="I2" s="11" t="s">
        <v>75</v>
      </c>
      <c r="J2" s="11" t="s">
        <v>76</v>
      </c>
      <c r="K2" s="11" t="s">
        <v>77</v>
      </c>
      <c r="L2" s="11" t="s">
        <v>116</v>
      </c>
      <c r="M2" s="11" t="s">
        <v>123</v>
      </c>
      <c r="N2" s="3"/>
      <c r="P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J2" s="1"/>
      <c r="AK2" s="1"/>
      <c r="AL2" s="1"/>
      <c r="AM2" s="1"/>
    </row>
    <row r="3" spans="8:8">
      <c r="A3" s="10" t="s">
        <v>22</v>
      </c>
      <c r="B3" s="9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P3" s="6"/>
      <c r="Q3" s="6"/>
      <c r="V3" s="6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8:8">
      <c r="A4" s="10" t="s">
        <v>96</v>
      </c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P4" s="13"/>
      <c r="Q4" s="13"/>
      <c r="V4" s="6"/>
      <c r="Z4" s="6"/>
      <c r="AA4" s="6"/>
      <c r="AC4" s="8"/>
      <c r="AM4" s="8"/>
    </row>
    <row r="5" spans="8:8" customHeight="1">
      <c r="A5" s="14" t="s">
        <v>3</v>
      </c>
      <c r="B5" s="15" t="s">
        <v>112</v>
      </c>
      <c r="C5" s="16">
        <v>20.0</v>
      </c>
      <c r="D5" s="16"/>
      <c r="E5" s="16"/>
      <c r="F5" s="16"/>
      <c r="G5" s="16"/>
      <c r="H5" s="16"/>
      <c r="I5" s="16"/>
      <c r="J5" s="16"/>
      <c r="K5" s="16"/>
      <c r="L5" s="16"/>
      <c r="M5" s="16"/>
      <c r="P5" s="13"/>
      <c r="Q5" s="13"/>
      <c r="R5" s="17"/>
      <c r="S5" s="17"/>
      <c r="T5" s="17"/>
      <c r="U5" s="17"/>
      <c r="V5" s="6"/>
      <c r="Z5" s="6"/>
      <c r="AA5" s="6"/>
      <c r="AC5" s="8"/>
      <c r="AD5" s="8"/>
      <c r="AE5" s="18"/>
      <c r="AF5" s="8"/>
      <c r="AG5" s="8"/>
      <c r="AH5" s="18"/>
      <c r="AI5" s="8"/>
      <c r="AJ5" s="8"/>
      <c r="AK5" s="18"/>
      <c r="AL5" s="8"/>
      <c r="AM5" s="7"/>
    </row>
    <row r="6" spans="8:8" s="6" customFormat="1">
      <c r="A6" s="19" t="s">
        <v>131</v>
      </c>
      <c r="B6" s="15" t="s">
        <v>112</v>
      </c>
      <c r="C6" s="20">
        <v>20.0</v>
      </c>
      <c r="D6" s="20">
        <v>10.0</v>
      </c>
      <c r="E6" s="20">
        <v>10.0</v>
      </c>
      <c r="F6" s="20">
        <v>10.0</v>
      </c>
      <c r="G6" s="20">
        <v>10.0</v>
      </c>
      <c r="H6" s="20">
        <v>10.0</v>
      </c>
      <c r="I6" s="20">
        <v>10.0</v>
      </c>
      <c r="J6" s="20">
        <v>10.0</v>
      </c>
      <c r="K6" s="20">
        <v>10.0</v>
      </c>
      <c r="L6" s="20">
        <v>10.0</v>
      </c>
      <c r="M6" s="20">
        <v>10.0</v>
      </c>
      <c r="N6" s="21"/>
      <c r="O6" s="1"/>
      <c r="P6" s="7"/>
      <c r="Q6" s="7"/>
      <c r="R6" s="17"/>
      <c r="S6" s="17"/>
      <c r="T6" s="17"/>
      <c r="U6" s="17"/>
      <c r="V6" s="7"/>
      <c r="W6" s="7"/>
      <c r="X6" s="7"/>
      <c r="Y6" s="1"/>
      <c r="AB6" s="1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8:8" s="6" customFormat="1">
      <c r="A7" s="15" t="s">
        <v>33</v>
      </c>
      <c r="B7" s="15" t="s">
        <v>112</v>
      </c>
      <c r="C7" s="20">
        <v>28.0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1"/>
      <c r="P7" s="1"/>
      <c r="Q7" s="1"/>
      <c r="R7" s="17"/>
      <c r="S7" s="17"/>
      <c r="T7" s="17"/>
      <c r="U7" s="17"/>
      <c r="V7" s="1"/>
      <c r="W7" s="1"/>
      <c r="X7" s="1"/>
      <c r="AB7" s="1"/>
      <c r="AC7" s="8"/>
      <c r="AD7" s="8"/>
      <c r="AE7" s="8"/>
      <c r="AF7" s="8"/>
      <c r="AG7" s="8"/>
      <c r="AH7" s="8"/>
      <c r="AI7" s="8"/>
      <c r="AJ7" s="8"/>
      <c r="AK7" s="8"/>
      <c r="AL7" s="8"/>
      <c r="AM7" s="1"/>
    </row>
    <row r="8" spans="8:8" s="6" customFormat="1">
      <c r="A8" s="15" t="s">
        <v>64</v>
      </c>
      <c r="B8" s="15" t="s">
        <v>112</v>
      </c>
      <c r="C8" s="20">
        <v>4.0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  <c r="O8" s="1"/>
      <c r="P8" s="1"/>
      <c r="Q8" s="5"/>
      <c r="R8" s="1"/>
      <c r="S8" s="1"/>
      <c r="T8" s="1"/>
      <c r="U8" s="1"/>
      <c r="V8" s="1"/>
      <c r="W8" s="1"/>
      <c r="X8" s="1"/>
      <c r="AB8" s="8"/>
      <c r="AC8" s="8"/>
      <c r="AD8" s="1"/>
      <c r="AE8" s="1"/>
      <c r="AF8" s="8"/>
      <c r="AG8" s="1"/>
      <c r="AH8" s="1"/>
      <c r="AI8" s="8"/>
      <c r="AJ8" s="1"/>
      <c r="AK8" s="1"/>
      <c r="AL8" s="8"/>
      <c r="AM8" s="1"/>
    </row>
    <row r="9" spans="8:8" s="6" customFormat="1">
      <c r="A9" s="14" t="s">
        <v>63</v>
      </c>
      <c r="B9" s="15" t="s">
        <v>112</v>
      </c>
      <c r="C9" s="20">
        <v>9.0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7"/>
      <c r="Q9" s="7"/>
      <c r="R9" s="7"/>
      <c r="S9" s="7"/>
      <c r="T9" s="7"/>
      <c r="U9" s="7"/>
      <c r="V9" s="1"/>
      <c r="W9" s="1"/>
      <c r="X9" s="1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8:8" s="6" customFormat="1">
      <c r="A10" s="14" t="s">
        <v>61</v>
      </c>
      <c r="B10" s="15" t="s">
        <v>112</v>
      </c>
      <c r="C10" s="20">
        <v>7.0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1"/>
      <c r="P10" s="1"/>
      <c r="Q10" s="1"/>
      <c r="R10" s="17"/>
      <c r="S10" s="17"/>
      <c r="T10" s="17"/>
      <c r="U10" s="17"/>
      <c r="V10" s="1"/>
      <c r="W10" s="1"/>
      <c r="X10" s="1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8:8" s="6" customFormat="1">
      <c r="A11" s="15" t="s">
        <v>79</v>
      </c>
      <c r="B11" s="15" t="s">
        <v>112</v>
      </c>
      <c r="C11" s="20">
        <v>9.0</v>
      </c>
      <c r="D11" s="20">
        <v>3.0</v>
      </c>
      <c r="E11" s="20">
        <v>2.0</v>
      </c>
      <c r="F11" s="20"/>
      <c r="G11" s="20"/>
      <c r="H11" s="20"/>
      <c r="I11" s="20"/>
      <c r="J11" s="20"/>
      <c r="K11" s="20"/>
      <c r="L11" s="20"/>
      <c r="M11" s="20"/>
      <c r="N11" s="21"/>
      <c r="O11" s="1"/>
      <c r="P11" s="1"/>
      <c r="Q11" s="1"/>
      <c r="R11" s="17"/>
      <c r="S11" s="17"/>
      <c r="T11" s="17"/>
      <c r="U11" s="17"/>
      <c r="V11" s="1"/>
      <c r="W11" s="1"/>
      <c r="X11" s="1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7"/>
    </row>
    <row r="12" spans="8:8" s="6" customFormat="1">
      <c r="A12" s="15" t="s">
        <v>62</v>
      </c>
      <c r="B12" s="15" t="s">
        <v>112</v>
      </c>
      <c r="C12" s="20">
        <v>3.0</v>
      </c>
      <c r="D12" s="20">
        <v>5.0</v>
      </c>
      <c r="E12" s="20">
        <v>3.0</v>
      </c>
      <c r="F12" s="20"/>
      <c r="G12" s="20"/>
      <c r="H12" s="20"/>
      <c r="I12" s="20"/>
      <c r="J12" s="20"/>
      <c r="K12" s="20"/>
      <c r="L12" s="20"/>
      <c r="M12" s="20"/>
      <c r="N12" s="21"/>
      <c r="O12" s="8"/>
      <c r="P12" s="1"/>
      <c r="Q12" s="1"/>
      <c r="R12" s="17"/>
      <c r="S12" s="17"/>
      <c r="T12" s="17"/>
      <c r="U12" s="17"/>
      <c r="V12" s="1"/>
      <c r="W12" s="1"/>
      <c r="X12" s="1"/>
      <c r="AB12" s="8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7"/>
    </row>
    <row r="13" spans="8:8" s="6" ht="12.0" customFormat="1">
      <c r="A13" s="15" t="s">
        <v>23</v>
      </c>
      <c r="B13" s="15" t="s">
        <v>112</v>
      </c>
      <c r="C13" s="20">
        <v>10.0</v>
      </c>
      <c r="D13" s="20">
        <v>20.0</v>
      </c>
      <c r="E13" s="20">
        <v>20.0</v>
      </c>
      <c r="F13" s="20">
        <v>15.0</v>
      </c>
      <c r="G13" s="20">
        <v>15.0</v>
      </c>
      <c r="H13" s="20">
        <v>15.0</v>
      </c>
      <c r="I13" s="20">
        <v>15.0</v>
      </c>
      <c r="J13" s="20">
        <v>15.0</v>
      </c>
      <c r="K13" s="20">
        <v>15.0</v>
      </c>
      <c r="L13" s="20">
        <v>15.0</v>
      </c>
      <c r="M13" s="20">
        <v>15.0</v>
      </c>
      <c r="N13" s="21"/>
      <c r="O13" s="1"/>
      <c r="P13" s="1"/>
      <c r="Q13" s="1"/>
      <c r="R13" s="17"/>
      <c r="S13" s="17"/>
      <c r="T13" s="17"/>
      <c r="U13" s="17"/>
      <c r="V13" s="1"/>
      <c r="W13" s="1"/>
      <c r="X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7"/>
    </row>
    <row r="14" spans="8:8" s="6" ht="24.0" customFormat="1">
      <c r="A14" s="22" t="s">
        <v>24</v>
      </c>
      <c r="B14" s="15" t="s">
        <v>112</v>
      </c>
      <c r="C14" s="20">
        <v>10.0</v>
      </c>
      <c r="D14" s="20">
        <v>28.0</v>
      </c>
      <c r="E14" s="20">
        <v>28.0</v>
      </c>
      <c r="F14" s="20">
        <v>28.0</v>
      </c>
      <c r="G14" s="20">
        <v>28.0</v>
      </c>
      <c r="H14" s="20">
        <v>28.0</v>
      </c>
      <c r="I14" s="20">
        <v>28.0</v>
      </c>
      <c r="J14" s="20">
        <v>28.0</v>
      </c>
      <c r="K14" s="20">
        <v>28.0</v>
      </c>
      <c r="L14" s="20">
        <v>28.0</v>
      </c>
      <c r="M14" s="20">
        <v>28.0</v>
      </c>
      <c r="N14" s="21"/>
      <c r="O14" s="1"/>
      <c r="P14" s="1"/>
      <c r="Q14" s="1"/>
      <c r="R14" s="17"/>
      <c r="S14" s="17"/>
      <c r="T14" s="17"/>
      <c r="U14" s="17"/>
      <c r="V14" s="1"/>
      <c r="W14" s="1"/>
      <c r="X14" s="1"/>
      <c r="Y14" s="13"/>
      <c r="Z14" s="1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7"/>
    </row>
    <row r="15" spans="8:8" s="6" ht="12.0" customFormat="1">
      <c r="A15" s="15" t="s">
        <v>20</v>
      </c>
      <c r="B15" s="15" t="s">
        <v>112</v>
      </c>
      <c r="C15" s="20">
        <v>4.0</v>
      </c>
      <c r="D15" s="20">
        <v>6.0</v>
      </c>
      <c r="E15" s="20">
        <v>6.0</v>
      </c>
      <c r="F15" s="20"/>
      <c r="G15" s="20"/>
      <c r="H15" s="20"/>
      <c r="I15" s="20"/>
      <c r="J15" s="20"/>
      <c r="K15" s="20"/>
      <c r="L15" s="20"/>
      <c r="M15" s="20"/>
      <c r="N15" s="21"/>
      <c r="O15" s="1"/>
      <c r="P15" s="1"/>
      <c r="Q15" s="1"/>
      <c r="R15" s="17"/>
      <c r="S15" s="17"/>
      <c r="T15" s="17"/>
      <c r="U15" s="17"/>
      <c r="V15" s="7"/>
      <c r="W15" s="7"/>
      <c r="X15" s="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8:8" s="6" ht="12.0" customFormat="1">
      <c r="A16" s="9" t="s">
        <v>11</v>
      </c>
      <c r="B16" s="15" t="s">
        <v>112</v>
      </c>
      <c r="C16" s="16">
        <v>2.0</v>
      </c>
      <c r="D16" s="16">
        <v>3.0</v>
      </c>
      <c r="E16" s="16">
        <v>4.0</v>
      </c>
      <c r="F16" s="16">
        <v>4.0</v>
      </c>
      <c r="G16" s="16">
        <v>4.0</v>
      </c>
      <c r="H16" s="16">
        <v>4.0</v>
      </c>
      <c r="I16" s="16">
        <v>4.0</v>
      </c>
      <c r="J16" s="16">
        <v>4.0</v>
      </c>
      <c r="K16" s="16">
        <v>4.0</v>
      </c>
      <c r="L16" s="16">
        <v>4.0</v>
      </c>
      <c r="M16" s="16">
        <v>4.0</v>
      </c>
      <c r="N16" s="21"/>
      <c r="O16" s="1"/>
      <c r="P16" s="1"/>
      <c r="Q16" s="1"/>
      <c r="R16" s="17"/>
      <c r="S16" s="17"/>
      <c r="T16" s="17"/>
      <c r="U16" s="17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8:8">
      <c r="A17" s="23" t="s">
        <v>82</v>
      </c>
      <c r="B17" s="19" t="s">
        <v>112</v>
      </c>
      <c r="C17" s="24"/>
      <c r="D17" s="24"/>
      <c r="E17" s="24">
        <v>1.0</v>
      </c>
      <c r="F17" s="24">
        <v>2.0</v>
      </c>
      <c r="G17" s="24">
        <v>3.0</v>
      </c>
      <c r="H17" s="24">
        <v>4.0</v>
      </c>
      <c r="I17" s="24">
        <v>4.0</v>
      </c>
      <c r="J17" s="24">
        <v>5.0</v>
      </c>
      <c r="K17" s="24">
        <v>5.0</v>
      </c>
      <c r="L17" s="24">
        <v>5.0</v>
      </c>
      <c r="M17" s="24">
        <v>5.0</v>
      </c>
      <c r="R17" s="17"/>
      <c r="S17" s="17"/>
      <c r="T17" s="17"/>
      <c r="U17" s="17"/>
      <c r="Y17" s="6"/>
      <c r="Z17" s="6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8:8">
      <c r="A18" s="23" t="s">
        <v>21</v>
      </c>
      <c r="B18" s="19" t="s">
        <v>112</v>
      </c>
      <c r="C18" s="24">
        <v>4.0</v>
      </c>
      <c r="D18" s="24">
        <v>3.0</v>
      </c>
      <c r="E18" s="24">
        <v>3.0</v>
      </c>
      <c r="F18" s="24">
        <v>3.0</v>
      </c>
      <c r="G18" s="24">
        <v>3.0</v>
      </c>
      <c r="H18" s="24">
        <v>3.0</v>
      </c>
      <c r="I18" s="24">
        <v>3.0</v>
      </c>
      <c r="J18" s="24">
        <v>3.0</v>
      </c>
      <c r="K18" s="24">
        <v>3.0</v>
      </c>
      <c r="L18" s="24">
        <v>3.0</v>
      </c>
      <c r="M18" s="24">
        <v>3.0</v>
      </c>
      <c r="O18" s="7"/>
      <c r="P18" s="7"/>
      <c r="Q18" s="7"/>
      <c r="R18" s="17"/>
      <c r="S18" s="17"/>
      <c r="T18" s="17"/>
      <c r="U18" s="17"/>
      <c r="V18" s="7"/>
      <c r="W18" s="7"/>
      <c r="X18" s="7"/>
      <c r="AM18" s="7"/>
    </row>
    <row r="19" spans="8:8">
      <c r="A19" s="23" t="s">
        <v>14</v>
      </c>
      <c r="B19" s="19" t="s">
        <v>112</v>
      </c>
      <c r="C19" s="24"/>
      <c r="D19" s="24"/>
      <c r="E19" s="25">
        <v>5.0</v>
      </c>
      <c r="F19" s="24">
        <v>14.0</v>
      </c>
      <c r="G19" s="24">
        <v>23.0</v>
      </c>
      <c r="H19" s="24">
        <v>30.0</v>
      </c>
      <c r="I19" s="24">
        <v>47.0</v>
      </c>
      <c r="J19" s="24">
        <v>55.0</v>
      </c>
      <c r="K19" s="25">
        <v>55.0</v>
      </c>
      <c r="L19" s="25">
        <v>55.0</v>
      </c>
      <c r="M19" s="25">
        <v>55.0</v>
      </c>
      <c r="O19" s="6"/>
      <c r="R19" s="17"/>
      <c r="S19" s="17"/>
      <c r="T19" s="17"/>
      <c r="U19" s="17"/>
      <c r="Y19" s="6"/>
      <c r="Z19" s="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8:8">
      <c r="A20" s="23" t="s">
        <v>85</v>
      </c>
      <c r="B20" s="19" t="s">
        <v>112</v>
      </c>
      <c r="C20" s="24"/>
      <c r="D20" s="24"/>
      <c r="E20" s="25">
        <v>4.0</v>
      </c>
      <c r="F20" s="25">
        <v>12.0</v>
      </c>
      <c r="G20" s="24">
        <v>21.0</v>
      </c>
      <c r="H20" s="24">
        <v>25.0</v>
      </c>
      <c r="I20" s="24">
        <v>37.0</v>
      </c>
      <c r="J20" s="24">
        <v>44.0</v>
      </c>
      <c r="K20" s="24">
        <v>44.0</v>
      </c>
      <c r="L20" s="24">
        <v>44.0</v>
      </c>
      <c r="M20" s="24">
        <v>44.0</v>
      </c>
      <c r="R20" s="7"/>
      <c r="S20" s="7"/>
      <c r="T20" s="7"/>
      <c r="U20" s="7"/>
      <c r="V20" s="7"/>
      <c r="W20" s="7"/>
      <c r="X20" s="7"/>
      <c r="AB20" s="7"/>
      <c r="AC20" s="8"/>
      <c r="AD20" s="8"/>
      <c r="AE20" s="8"/>
      <c r="AF20" s="8"/>
      <c r="AG20" s="8"/>
      <c r="AH20" s="8"/>
      <c r="AI20" s="8"/>
    </row>
    <row r="21" spans="8:8">
      <c r="A21" s="23" t="s">
        <v>83</v>
      </c>
      <c r="B21" s="19" t="s">
        <v>112</v>
      </c>
      <c r="C21" s="24"/>
      <c r="D21" s="24"/>
      <c r="E21" s="24">
        <v>3.0</v>
      </c>
      <c r="F21" s="24">
        <v>7.0</v>
      </c>
      <c r="G21" s="24">
        <v>13.0</v>
      </c>
      <c r="H21" s="24">
        <v>15.0</v>
      </c>
      <c r="I21" s="24">
        <v>21.0</v>
      </c>
      <c r="J21" s="24">
        <v>24.0</v>
      </c>
      <c r="K21" s="25">
        <v>24.0</v>
      </c>
      <c r="L21" s="25">
        <v>24.0</v>
      </c>
      <c r="M21" s="25">
        <v>24.0</v>
      </c>
      <c r="Y21" s="7"/>
      <c r="Z21" s="7"/>
      <c r="AA21" s="7"/>
      <c r="AD21" s="7"/>
      <c r="AE21" s="7"/>
      <c r="AF21" s="7"/>
      <c r="AG21" s="7"/>
      <c r="AH21" s="7"/>
      <c r="AI21" s="7"/>
    </row>
    <row r="22" spans="8:8">
      <c r="A22" s="23" t="s">
        <v>5</v>
      </c>
      <c r="B22" s="19" t="s">
        <v>112</v>
      </c>
      <c r="C22" s="24">
        <v>5.0</v>
      </c>
      <c r="D22" s="24">
        <v>5.0</v>
      </c>
      <c r="E22" s="24">
        <v>5.0</v>
      </c>
      <c r="F22" s="24">
        <v>5.0</v>
      </c>
      <c r="G22" s="24">
        <v>5.0</v>
      </c>
      <c r="H22" s="24">
        <v>5.0</v>
      </c>
      <c r="I22" s="24">
        <v>5.0</v>
      </c>
      <c r="J22" s="24">
        <v>10.0</v>
      </c>
      <c r="K22" s="24">
        <v>10.0</v>
      </c>
      <c r="L22" s="24">
        <v>10.0</v>
      </c>
      <c r="M22" s="24">
        <v>10.0</v>
      </c>
      <c r="R22" s="7"/>
      <c r="S22" s="7"/>
      <c r="T22" s="7"/>
      <c r="U22" s="7"/>
      <c r="V22" s="7"/>
      <c r="W22" s="7"/>
      <c r="X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8:8">
      <c r="A23" s="23" t="s">
        <v>34</v>
      </c>
      <c r="B23" s="19" t="s">
        <v>112</v>
      </c>
      <c r="C23" s="24">
        <f>SUM(C5:C22)</f>
        <v>135.0</v>
      </c>
      <c r="D23" s="24">
        <f t="shared" si="0" ref="D23:M23">SUM(D5:D22)</f>
        <v>83.0</v>
      </c>
      <c r="E23" s="24">
        <f t="shared" si="0"/>
        <v>94.0</v>
      </c>
      <c r="F23" s="24">
        <f t="shared" si="0"/>
        <v>100.0</v>
      </c>
      <c r="G23" s="24">
        <f t="shared" si="0"/>
        <v>125.0</v>
      </c>
      <c r="H23" s="24">
        <f t="shared" si="0"/>
        <v>139.0</v>
      </c>
      <c r="I23" s="24">
        <f t="shared" si="0"/>
        <v>174.0</v>
      </c>
      <c r="J23" s="24">
        <f t="shared" si="0"/>
        <v>198.0</v>
      </c>
      <c r="K23" s="24">
        <f t="shared" si="0"/>
        <v>198.0</v>
      </c>
      <c r="L23" s="24">
        <f t="shared" si="0"/>
        <v>198.0</v>
      </c>
      <c r="M23" s="24">
        <f t="shared" si="0"/>
        <v>198.0</v>
      </c>
      <c r="S23" s="7"/>
      <c r="T23" s="7"/>
      <c r="U23" s="7"/>
      <c r="V23" s="7"/>
      <c r="AB23" s="8"/>
    </row>
    <row r="24" spans="8:8" s="7" customFormat="1">
      <c r="A24" s="26" t="s">
        <v>35</v>
      </c>
      <c r="B24" s="26" t="s">
        <v>16</v>
      </c>
      <c r="C24" s="27">
        <f>C23*2.5</f>
        <v>337.5</v>
      </c>
      <c r="D24" s="27">
        <f t="shared" si="1" ref="D24:M24">D23*2.5</f>
        <v>207.5</v>
      </c>
      <c r="E24" s="27">
        <f t="shared" si="1"/>
        <v>235.0</v>
      </c>
      <c r="F24" s="27">
        <f t="shared" si="1"/>
        <v>250.0</v>
      </c>
      <c r="G24" s="27">
        <f t="shared" si="1"/>
        <v>312.5</v>
      </c>
      <c r="H24" s="27">
        <f t="shared" si="1"/>
        <v>347.5</v>
      </c>
      <c r="I24" s="24">
        <f t="shared" si="1"/>
        <v>435.0</v>
      </c>
      <c r="J24" s="24">
        <f t="shared" si="1"/>
        <v>495.0</v>
      </c>
      <c r="K24" s="24">
        <f t="shared" si="1"/>
        <v>495.0</v>
      </c>
      <c r="L24" s="24">
        <f t="shared" si="1"/>
        <v>495.0</v>
      </c>
      <c r="M24" s="24">
        <f t="shared" si="1"/>
        <v>495.0</v>
      </c>
      <c r="N24" s="3"/>
      <c r="O24" s="1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8"/>
      <c r="AC24" s="8"/>
      <c r="AD24" s="18"/>
      <c r="AE24" s="8"/>
      <c r="AF24" s="8"/>
      <c r="AG24" s="18"/>
      <c r="AH24" s="8"/>
      <c r="AI24" s="8"/>
      <c r="AJ24" s="18"/>
      <c r="AK24" s="8"/>
      <c r="AL24" s="1"/>
    </row>
    <row r="25" spans="8:8">
      <c r="A25" s="28" t="s">
        <v>143</v>
      </c>
      <c r="B25" s="29" t="s">
        <v>17</v>
      </c>
      <c r="C25" s="30">
        <f>C24*1500</f>
        <v>506250.0</v>
      </c>
      <c r="D25" s="30">
        <f t="shared" si="2" ref="D25:M25">D24*1500</f>
        <v>311250.0</v>
      </c>
      <c r="E25" s="30">
        <f t="shared" si="2"/>
        <v>352500.0</v>
      </c>
      <c r="F25" s="30">
        <f t="shared" si="2"/>
        <v>375000.0</v>
      </c>
      <c r="G25" s="30">
        <f t="shared" si="2"/>
        <v>468750.0</v>
      </c>
      <c r="H25" s="30">
        <f t="shared" si="2"/>
        <v>521250.0</v>
      </c>
      <c r="I25" s="30">
        <f t="shared" si="2"/>
        <v>652500.0</v>
      </c>
      <c r="J25" s="30">
        <f t="shared" si="2"/>
        <v>742500.0</v>
      </c>
      <c r="K25" s="30">
        <f t="shared" si="2"/>
        <v>742500.0</v>
      </c>
      <c r="L25" s="30">
        <f t="shared" si="2"/>
        <v>742500.0</v>
      </c>
      <c r="M25" s="30">
        <f t="shared" si="2"/>
        <v>742500.0</v>
      </c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8:8" ht="9.75" customHeight="1">
      <c r="A26" s="31"/>
      <c r="B26" s="31"/>
      <c r="C26" s="32"/>
      <c r="D26" s="32"/>
      <c r="E26" s="32"/>
      <c r="F26" s="32"/>
      <c r="G26" s="32"/>
      <c r="H26" s="32"/>
      <c r="I26" s="33"/>
      <c r="J26" s="33"/>
      <c r="K26" s="33"/>
      <c r="L26" s="33"/>
      <c r="M26" s="33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8:8">
      <c r="A27" s="28" t="s">
        <v>25</v>
      </c>
      <c r="B27" s="31"/>
      <c r="C27" s="32"/>
      <c r="D27" s="32"/>
      <c r="E27" s="32"/>
      <c r="F27" s="32"/>
      <c r="G27" s="32"/>
      <c r="H27" s="32"/>
      <c r="I27" s="33"/>
      <c r="J27" s="33"/>
      <c r="K27" s="33"/>
      <c r="L27" s="33"/>
      <c r="M27" s="33"/>
      <c r="N27" s="34"/>
      <c r="AA27" s="8"/>
      <c r="AB27" s="8"/>
      <c r="AE27" s="8"/>
      <c r="AH27" s="8"/>
      <c r="AK27" s="8"/>
    </row>
    <row r="28" spans="8:8">
      <c r="A28" s="31" t="s">
        <v>44</v>
      </c>
      <c r="B28" s="31" t="s">
        <v>12</v>
      </c>
      <c r="C28" s="32">
        <v>4000.0</v>
      </c>
      <c r="D28" s="32"/>
      <c r="E28" s="32"/>
      <c r="F28" s="32"/>
      <c r="G28" s="32"/>
      <c r="H28" s="32"/>
      <c r="I28" s="33"/>
      <c r="J28" s="33"/>
      <c r="K28" s="33"/>
      <c r="L28" s="33"/>
      <c r="M28" s="33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8:8" customHeight="1">
      <c r="A29" s="35" t="s">
        <v>140</v>
      </c>
      <c r="B29" s="31" t="s">
        <v>26</v>
      </c>
      <c r="C29" s="32">
        <f>1700*20</f>
        <v>34000.0</v>
      </c>
      <c r="D29" s="32"/>
      <c r="E29" s="32"/>
      <c r="F29" s="32"/>
      <c r="G29" s="32"/>
      <c r="H29" s="32"/>
      <c r="I29" s="33"/>
      <c r="J29" s="33"/>
      <c r="K29" s="33"/>
      <c r="L29" s="33"/>
      <c r="M29" s="33"/>
      <c r="O29" s="36"/>
      <c r="P29" s="37"/>
      <c r="Q29" s="37"/>
      <c r="R29" s="37"/>
      <c r="S29" s="37"/>
      <c r="T29" s="37"/>
      <c r="U29" s="37"/>
      <c r="V29" s="37"/>
      <c r="W29" s="37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8:8" ht="13.5" customHeight="1">
      <c r="A30" s="35" t="s">
        <v>472</v>
      </c>
      <c r="B30" s="31" t="s">
        <v>26</v>
      </c>
      <c r="C30" s="32">
        <f>16000*3</f>
        <v>48000.0</v>
      </c>
      <c r="D30" s="32"/>
      <c r="E30" s="32"/>
      <c r="F30" s="32"/>
      <c r="G30" s="32"/>
      <c r="H30" s="32"/>
      <c r="I30" s="33"/>
      <c r="J30" s="33"/>
      <c r="K30" s="33"/>
      <c r="L30" s="33"/>
      <c r="M30" s="33"/>
      <c r="Q30" s="7"/>
      <c r="R30" s="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8:8" ht="24.0">
      <c r="A31" s="35" t="s">
        <v>510</v>
      </c>
      <c r="B31" s="31" t="s">
        <v>26</v>
      </c>
      <c r="C31" s="32">
        <f>1700*40</f>
        <v>68000.0</v>
      </c>
      <c r="D31" s="32">
        <f>C31/3</f>
        <v>22666.666666666668</v>
      </c>
      <c r="E31" s="32">
        <f>D31/3</f>
        <v>7555.555555555556</v>
      </c>
      <c r="F31" s="32"/>
      <c r="G31" s="32"/>
      <c r="H31" s="32"/>
      <c r="I31" s="33"/>
      <c r="J31" s="33"/>
      <c r="K31" s="33"/>
      <c r="L31" s="33"/>
      <c r="M31" s="33"/>
      <c r="O31" s="17"/>
      <c r="P31" s="17"/>
      <c r="S31" s="17"/>
      <c r="T31" s="8"/>
    </row>
    <row r="32" spans="8:8">
      <c r="A32" s="35" t="s">
        <v>86</v>
      </c>
      <c r="B32" s="31" t="s">
        <v>26</v>
      </c>
      <c r="C32" s="32">
        <v>6000.0</v>
      </c>
      <c r="D32" s="32">
        <v>3000.0</v>
      </c>
      <c r="E32" s="32">
        <v>1500.0</v>
      </c>
      <c r="F32" s="32"/>
      <c r="G32" s="32"/>
      <c r="H32" s="32"/>
      <c r="I32" s="33"/>
      <c r="J32" s="33"/>
      <c r="K32" s="33"/>
      <c r="L32" s="33"/>
      <c r="M32" s="33"/>
      <c r="O32" s="17"/>
      <c r="P32" s="17"/>
    </row>
    <row r="33" spans="8:8" s="7" ht="24.0" customFormat="1">
      <c r="A33" s="35" t="s">
        <v>109</v>
      </c>
      <c r="B33" s="31" t="s">
        <v>108</v>
      </c>
      <c r="C33" s="32">
        <v>196.0</v>
      </c>
      <c r="D33" s="32">
        <v>784.0</v>
      </c>
      <c r="E33" s="32">
        <v>1176.0</v>
      </c>
      <c r="F33" s="32">
        <v>1176.0</v>
      </c>
      <c r="G33" s="32">
        <v>1176.0</v>
      </c>
      <c r="H33" s="32">
        <v>1176.0</v>
      </c>
      <c r="I33" s="33">
        <v>1176.0</v>
      </c>
      <c r="J33" s="33">
        <v>1176.0</v>
      </c>
      <c r="K33" s="33">
        <v>1176.0</v>
      </c>
      <c r="L33" s="33">
        <v>1176.0</v>
      </c>
      <c r="M33" s="33">
        <v>1176.0</v>
      </c>
      <c r="N33" s="38"/>
      <c r="O33" s="17"/>
      <c r="P33" s="17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8:8" s="39" ht="12.0" customFormat="1">
      <c r="A34" s="35" t="s">
        <v>484</v>
      </c>
      <c r="B34" s="31" t="s">
        <v>26</v>
      </c>
      <c r="C34" s="32">
        <f>C33*267.33</f>
        <v>52396.68</v>
      </c>
      <c r="D34" s="32">
        <f t="shared" si="3" ref="D34:M34">D33*267.33</f>
        <v>209586.72</v>
      </c>
      <c r="E34" s="32">
        <f t="shared" si="3"/>
        <v>314380.07999999996</v>
      </c>
      <c r="F34" s="32">
        <f>F33*267.33</f>
        <v>314380.07999999996</v>
      </c>
      <c r="G34" s="32">
        <f t="shared" si="3"/>
        <v>314380.07999999996</v>
      </c>
      <c r="H34" s="32">
        <f t="shared" si="3"/>
        <v>314380.07999999996</v>
      </c>
      <c r="I34" s="32">
        <f t="shared" si="3"/>
        <v>314380.07999999996</v>
      </c>
      <c r="J34" s="32">
        <f t="shared" si="3"/>
        <v>314380.07999999996</v>
      </c>
      <c r="K34" s="32">
        <f t="shared" si="3"/>
        <v>314380.07999999996</v>
      </c>
      <c r="L34" s="32">
        <f t="shared" si="3"/>
        <v>314380.07999999996</v>
      </c>
      <c r="M34" s="32">
        <f t="shared" si="3"/>
        <v>314380.07999999996</v>
      </c>
      <c r="N34" s="40"/>
      <c r="O34" s="41"/>
      <c r="P34" s="41"/>
    </row>
    <row r="35" spans="8:8">
      <c r="A35" s="35" t="s">
        <v>134</v>
      </c>
      <c r="B35" s="31" t="s">
        <v>26</v>
      </c>
      <c r="C35" s="32">
        <v>2000.0</v>
      </c>
      <c r="D35" s="32">
        <v>10000.0</v>
      </c>
      <c r="E35" s="32">
        <v>10000.0</v>
      </c>
      <c r="F35" s="32">
        <v>10000.0</v>
      </c>
      <c r="G35" s="32">
        <v>10000.0</v>
      </c>
      <c r="H35" s="32">
        <v>10000.0</v>
      </c>
      <c r="I35" s="33">
        <v>20000.0</v>
      </c>
      <c r="J35" s="33">
        <v>40000.0</v>
      </c>
      <c r="K35" s="33">
        <v>40000.0</v>
      </c>
      <c r="L35" s="33">
        <v>40000.0</v>
      </c>
      <c r="M35" s="33">
        <v>40000.0</v>
      </c>
      <c r="O35" s="17"/>
      <c r="Q35" s="7"/>
      <c r="R35" s="7"/>
    </row>
    <row r="36" spans="8:8">
      <c r="A36" s="42" t="s">
        <v>7</v>
      </c>
      <c r="B36" s="28" t="s">
        <v>26</v>
      </c>
      <c r="C36" s="30">
        <f>C28+C29+C30+C31+C32+C34+C35</f>
        <v>214396.68</v>
      </c>
      <c r="D36" s="30">
        <f t="shared" si="4" ref="D36:M36">D28+D29+D30+D31+D32+D34+D35</f>
        <v>245253.386666667</v>
      </c>
      <c r="E36" s="30">
        <f t="shared" si="4"/>
        <v>333435.635555556</v>
      </c>
      <c r="F36" s="30">
        <f t="shared" si="4"/>
        <v>324380.08</v>
      </c>
      <c r="G36" s="30">
        <f t="shared" si="4"/>
        <v>324380.08</v>
      </c>
      <c r="H36" s="30">
        <f t="shared" si="4"/>
        <v>324380.08</v>
      </c>
      <c r="I36" s="43">
        <f t="shared" si="4"/>
        <v>334380.08</v>
      </c>
      <c r="J36" s="43">
        <f t="shared" si="4"/>
        <v>354380.08</v>
      </c>
      <c r="K36" s="43">
        <f t="shared" si="4"/>
        <v>354380.08</v>
      </c>
      <c r="L36" s="43">
        <f t="shared" si="4"/>
        <v>354380.08</v>
      </c>
      <c r="M36" s="43">
        <f t="shared" si="4"/>
        <v>354380.08</v>
      </c>
      <c r="O36" s="2"/>
      <c r="P36" s="2"/>
      <c r="Q36" s="2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8:8">
      <c r="A37" s="44" t="s">
        <v>27</v>
      </c>
      <c r="B37" s="45" t="s">
        <v>26</v>
      </c>
      <c r="C37" s="46">
        <f>C36+C25</f>
        <v>720646.6799999999</v>
      </c>
      <c r="D37" s="46">
        <f t="shared" si="5" ref="D37:M37">D36+D25</f>
        <v>556503.386666667</v>
      </c>
      <c r="E37" s="46">
        <f t="shared" si="5"/>
        <v>685935.635555556</v>
      </c>
      <c r="F37" s="46">
        <f t="shared" si="5"/>
        <v>699380.0800000001</v>
      </c>
      <c r="G37" s="46">
        <f t="shared" si="5"/>
        <v>793130.0800000001</v>
      </c>
      <c r="H37" s="46">
        <f>H36+H25</f>
        <v>845630.0800000001</v>
      </c>
      <c r="I37" s="46">
        <f t="shared" si="5"/>
        <v>986880.0800000001</v>
      </c>
      <c r="J37" s="46">
        <f t="shared" si="5"/>
        <v>1096880.08</v>
      </c>
      <c r="K37" s="46">
        <f t="shared" si="5"/>
        <v>1096880.08</v>
      </c>
      <c r="L37" s="46">
        <f t="shared" si="5"/>
        <v>1096880.08</v>
      </c>
      <c r="M37" s="46">
        <f t="shared" si="5"/>
        <v>1096880.08</v>
      </c>
      <c r="N37" s="47"/>
      <c r="O37" s="48"/>
      <c r="P37" s="49"/>
      <c r="Q37" s="49"/>
      <c r="R37" s="49"/>
      <c r="S37" s="49"/>
      <c r="Y37" s="7"/>
      <c r="Z37" s="7"/>
    </row>
    <row r="38" spans="8:8">
      <c r="A38" s="42"/>
      <c r="B38" s="28"/>
      <c r="C38" s="30"/>
      <c r="D38" s="30"/>
      <c r="E38" s="30"/>
      <c r="F38" s="30"/>
      <c r="G38" s="30"/>
      <c r="H38" s="30"/>
      <c r="I38" s="50"/>
      <c r="J38" s="50"/>
      <c r="K38" s="50"/>
      <c r="L38" s="33"/>
      <c r="M38" s="33"/>
      <c r="N38" s="47"/>
      <c r="O38" s="48"/>
      <c r="P38" s="51"/>
    </row>
    <row r="39" spans="8:8" ht="9.75" customHeight="1">
      <c r="A39" s="42" t="s">
        <v>18</v>
      </c>
      <c r="B39" s="31"/>
      <c r="C39" s="32"/>
      <c r="D39" s="32"/>
      <c r="E39" s="32"/>
      <c r="F39" s="32"/>
      <c r="G39" s="32"/>
      <c r="H39" s="32"/>
      <c r="I39" s="33"/>
      <c r="J39" s="33"/>
      <c r="K39" s="33"/>
      <c r="L39" s="33"/>
      <c r="M39" s="33"/>
      <c r="O39" s="48"/>
      <c r="P39" s="49"/>
      <c r="Q39" s="49"/>
      <c r="R39" s="49"/>
      <c r="S39" s="49"/>
      <c r="Z39" s="6"/>
    </row>
    <row r="40" spans="8:8">
      <c r="A40" s="35" t="s">
        <v>122</v>
      </c>
      <c r="B40" s="31"/>
      <c r="C40" s="32"/>
      <c r="D40" s="32"/>
      <c r="E40" s="32">
        <v>0.05</v>
      </c>
      <c r="F40" s="32">
        <v>0.5</v>
      </c>
      <c r="G40" s="32">
        <v>0.7</v>
      </c>
      <c r="H40" s="32">
        <v>1.0</v>
      </c>
      <c r="I40" s="33">
        <v>1.0</v>
      </c>
      <c r="J40" s="33">
        <v>1.2</v>
      </c>
      <c r="K40" s="33">
        <v>1.2</v>
      </c>
      <c r="L40" s="33">
        <v>1.2</v>
      </c>
      <c r="M40" s="33">
        <v>1.5</v>
      </c>
      <c r="N40" s="47"/>
      <c r="O40" s="17"/>
    </row>
    <row r="41" spans="8:8" ht="24.0">
      <c r="A41" s="35" t="s">
        <v>135</v>
      </c>
      <c r="B41" s="31"/>
      <c r="C41" s="32"/>
      <c r="D41" s="32"/>
      <c r="E41" s="32">
        <v>1000.0</v>
      </c>
      <c r="F41" s="32">
        <v>1300.0</v>
      </c>
      <c r="G41" s="32">
        <v>1530.0</v>
      </c>
      <c r="H41" s="32">
        <v>1530.0</v>
      </c>
      <c r="I41" s="33">
        <v>1530.0</v>
      </c>
      <c r="J41" s="33">
        <v>1530.0</v>
      </c>
      <c r="K41" s="33">
        <v>1530.0</v>
      </c>
      <c r="L41" s="33">
        <v>1530.0</v>
      </c>
      <c r="M41" s="33">
        <v>1275.0</v>
      </c>
      <c r="O41" s="48"/>
    </row>
    <row r="42" spans="8:8" ht="12.0" customHeight="1">
      <c r="A42" s="35" t="s">
        <v>130</v>
      </c>
      <c r="B42" s="31" t="s">
        <v>39</v>
      </c>
      <c r="C42" s="32"/>
      <c r="D42" s="32"/>
      <c r="E42" s="32">
        <f>E41*E40</f>
        <v>50.0</v>
      </c>
      <c r="F42" s="32">
        <f t="shared" si="6" ref="F42:M42">F41*F40</f>
        <v>650.0</v>
      </c>
      <c r="G42" s="32">
        <f t="shared" si="6"/>
        <v>1071.0</v>
      </c>
      <c r="H42" s="32">
        <f t="shared" si="6"/>
        <v>1530.0</v>
      </c>
      <c r="I42" s="33">
        <f t="shared" si="6"/>
        <v>1530.0</v>
      </c>
      <c r="J42" s="33">
        <f t="shared" si="6"/>
        <v>1836.0</v>
      </c>
      <c r="K42" s="33">
        <f t="shared" si="6"/>
        <v>1836.0</v>
      </c>
      <c r="L42" s="33">
        <f t="shared" si="6"/>
        <v>1836.0</v>
      </c>
      <c r="M42" s="33">
        <f t="shared" si="6"/>
        <v>1912.5</v>
      </c>
      <c r="O42" s="17"/>
      <c r="AA42" s="6"/>
    </row>
    <row r="43" spans="8:8" ht="24.75" customHeight="1">
      <c r="A43" s="52" t="s">
        <v>495</v>
      </c>
      <c r="B43" s="53" t="s">
        <v>26</v>
      </c>
      <c r="C43" s="54"/>
      <c r="D43" s="54"/>
      <c r="E43" s="54">
        <f>E42*1637.56</f>
        <v>81878.0</v>
      </c>
      <c r="F43" s="54">
        <f t="shared" si="7" ref="F43:M43">F42*1637.56</f>
        <v>1064414.0</v>
      </c>
      <c r="G43" s="54">
        <f t="shared" si="7"/>
        <v>1753826.76</v>
      </c>
      <c r="H43" s="54">
        <f t="shared" si="7"/>
        <v>2505466.8</v>
      </c>
      <c r="I43" s="54">
        <f t="shared" si="7"/>
        <v>2505466.8</v>
      </c>
      <c r="J43" s="54">
        <f>J42*1637.56</f>
        <v>3006560.1599999997</v>
      </c>
      <c r="K43" s="54">
        <f t="shared" si="7"/>
        <v>3006560.1599999997</v>
      </c>
      <c r="L43" s="54">
        <f t="shared" si="7"/>
        <v>3006560.1599999997</v>
      </c>
      <c r="M43" s="54">
        <f t="shared" si="7"/>
        <v>3131833.5</v>
      </c>
      <c r="O43" s="48"/>
    </row>
    <row r="44" spans="8:8" s="36" ht="12.0" customFormat="1">
      <c r="A44" s="44" t="s">
        <v>19</v>
      </c>
      <c r="B44" s="45" t="s">
        <v>26</v>
      </c>
      <c r="C44" s="55">
        <f>C43-C37</f>
        <v>-720646.68</v>
      </c>
      <c r="D44" s="55">
        <f t="shared" si="8" ref="D44:M44">D43-D37</f>
        <v>-556503.386666667</v>
      </c>
      <c r="E44" s="55">
        <f t="shared" si="8"/>
        <v>-604057.635555556</v>
      </c>
      <c r="F44" s="55">
        <f t="shared" si="8"/>
        <v>365033.92000000004</v>
      </c>
      <c r="G44" s="55">
        <f t="shared" si="8"/>
        <v>960696.68</v>
      </c>
      <c r="H44" s="55">
        <f t="shared" si="8"/>
        <v>1659836.7199999997</v>
      </c>
      <c r="I44" s="55">
        <f t="shared" si="8"/>
        <v>1518586.7199999997</v>
      </c>
      <c r="J44" s="55">
        <f t="shared" si="8"/>
        <v>1909680.08</v>
      </c>
      <c r="K44" s="55">
        <f t="shared" si="8"/>
        <v>1909680.08</v>
      </c>
      <c r="L44" s="55">
        <f t="shared" si="8"/>
        <v>1909680.08</v>
      </c>
      <c r="M44" s="55">
        <f t="shared" si="8"/>
        <v>2034953.42</v>
      </c>
      <c r="N44" s="56"/>
      <c r="O44" s="17"/>
      <c r="P44" s="1"/>
      <c r="Q44" s="1"/>
      <c r="R44" s="1"/>
      <c r="S44" s="1"/>
      <c r="T44" s="1"/>
      <c r="U44" s="1"/>
      <c r="V44" s="1"/>
      <c r="W44" s="1"/>
      <c r="X44" s="1"/>
      <c r="Y44" s="37"/>
      <c r="Z44" s="37"/>
    </row>
    <row r="45" spans="8:8" s="17" ht="12.0" customFormat="1">
      <c r="A45" s="57" t="s">
        <v>59</v>
      </c>
      <c r="B45" s="58" t="s">
        <v>49</v>
      </c>
      <c r="C45" s="59"/>
      <c r="D45" s="59"/>
      <c r="E45" s="59"/>
      <c r="F45" s="59"/>
      <c r="G45" s="59"/>
      <c r="H45" s="60">
        <f>H37/H42</f>
        <v>552.6993986928105</v>
      </c>
      <c r="I45" s="60"/>
      <c r="J45" s="60"/>
      <c r="K45" s="60"/>
      <c r="L45" s="60"/>
      <c r="M45" s="60"/>
      <c r="N45" s="6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8:8" s="17" ht="12.0" customFormat="1">
      <c r="A46" s="62"/>
      <c r="B46" s="6"/>
      <c r="C46" s="63"/>
      <c r="D46" s="63"/>
      <c r="E46" s="63"/>
      <c r="F46" s="63"/>
      <c r="G46" s="63"/>
      <c r="H46" s="63"/>
      <c r="I46" s="63"/>
      <c r="J46" s="64"/>
      <c r="K46" s="64"/>
      <c r="L46" s="64"/>
      <c r="M46" s="64"/>
      <c r="N46" s="61"/>
      <c r="P46" s="1"/>
      <c r="Q46" s="1"/>
      <c r="R46" s="1"/>
      <c r="S46" s="1"/>
      <c r="T46" s="1"/>
      <c r="U46" s="1"/>
      <c r="V46" s="1"/>
      <c r="W46" s="1"/>
      <c r="X46" s="1"/>
    </row>
    <row r="47" spans="8:8" s="17" ht="12.0" customFormat="1">
      <c r="A47" s="62"/>
      <c r="B47" s="6"/>
      <c r="C47" s="61"/>
      <c r="D47" s="61"/>
      <c r="E47" s="61"/>
      <c r="F47" s="61"/>
      <c r="G47" s="61"/>
      <c r="H47" s="61"/>
      <c r="I47" s="61"/>
      <c r="J47" s="2"/>
      <c r="K47" s="2"/>
      <c r="L47" s="2"/>
      <c r="M47" s="2"/>
      <c r="N47" s="61"/>
      <c r="P47" s="1"/>
      <c r="Q47" s="1"/>
      <c r="R47" s="1"/>
      <c r="S47" s="1"/>
      <c r="T47" s="1"/>
      <c r="U47" s="1"/>
      <c r="V47" s="1"/>
      <c r="W47" s="1"/>
      <c r="X47" s="1"/>
    </row>
    <row r="48" spans="8:8" s="17" ht="12.0" customFormat="1">
      <c r="A48" s="62" t="s">
        <v>60</v>
      </c>
      <c r="B48" s="65" t="s">
        <v>99</v>
      </c>
      <c r="C48" s="61"/>
      <c r="D48" s="61"/>
      <c r="E48" s="61"/>
      <c r="F48" s="61"/>
      <c r="G48" s="61"/>
      <c r="H48" s="61"/>
      <c r="I48" s="61"/>
      <c r="J48" s="2"/>
      <c r="K48" s="2"/>
      <c r="L48" s="2"/>
      <c r="M48" s="2"/>
      <c r="N48" s="61"/>
      <c r="P48" s="1"/>
      <c r="Q48" s="1"/>
      <c r="R48" s="1"/>
      <c r="S48" s="1"/>
      <c r="T48" s="1"/>
      <c r="U48" s="1"/>
      <c r="V48" s="1"/>
      <c r="W48" s="1"/>
      <c r="X48" s="1"/>
      <c r="AA48" s="1"/>
    </row>
    <row r="49" spans="8:8" s="17" ht="12.0" customFormat="1">
      <c r="A49" s="1" t="s">
        <v>67</v>
      </c>
      <c r="C49" s="61"/>
      <c r="D49" s="61"/>
      <c r="E49" s="61"/>
      <c r="F49" s="61"/>
      <c r="G49" s="61"/>
      <c r="H49" s="61"/>
      <c r="I49" s="61"/>
      <c r="J49" s="2"/>
      <c r="K49" s="2"/>
      <c r="L49" s="2"/>
      <c r="M49" s="2" t="s">
        <v>103</v>
      </c>
      <c r="N49" s="61"/>
      <c r="P49" s="1"/>
      <c r="Q49" s="1"/>
      <c r="R49" s="1"/>
      <c r="S49" s="1"/>
      <c r="T49" s="1"/>
      <c r="U49" s="1"/>
      <c r="V49" s="1"/>
      <c r="W49" s="1"/>
      <c r="X49" s="1"/>
      <c r="AA49" s="1"/>
    </row>
    <row r="50" spans="8:8" s="17" ht="12.0" customFormat="1">
      <c r="A50" s="1" t="s">
        <v>65</v>
      </c>
      <c r="B50" s="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P50" s="1"/>
      <c r="Q50" s="1"/>
      <c r="R50" s="1"/>
      <c r="S50" s="1"/>
      <c r="T50" s="1"/>
      <c r="U50" s="1"/>
      <c r="V50" s="1"/>
      <c r="W50" s="1"/>
      <c r="X50" s="1"/>
    </row>
    <row r="51" spans="8:8" s="17" ht="11.25" customFormat="1" customHeight="1">
      <c r="A51" s="1"/>
      <c r="B51" s="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P51" s="1"/>
      <c r="Q51" s="1"/>
      <c r="R51" s="1"/>
      <c r="S51" s="1"/>
      <c r="T51" s="1"/>
      <c r="U51" s="1"/>
      <c r="V51" s="1"/>
      <c r="W51" s="1"/>
      <c r="X51" s="1"/>
    </row>
    <row r="52" spans="8:8" s="8" customFormat="1">
      <c r="A52" s="7" t="s">
        <v>114</v>
      </c>
      <c r="B52" s="61"/>
      <c r="C52" s="3"/>
      <c r="D52" s="3"/>
      <c r="E52" s="3"/>
      <c r="F52" s="3"/>
      <c r="G52" s="61"/>
      <c r="H52" s="2"/>
      <c r="I52" s="2"/>
      <c r="J52" s="2"/>
      <c r="K52" s="2"/>
      <c r="L52" s="2"/>
      <c r="M52" s="34"/>
      <c r="N52" s="34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8:8" s="8" customFormat="1">
      <c r="A53" s="36" t="s">
        <v>132</v>
      </c>
      <c r="B53" s="61"/>
      <c r="C53" s="2"/>
      <c r="D53" s="2"/>
      <c r="E53" s="2"/>
      <c r="F53" s="2"/>
      <c r="G53" s="61"/>
      <c r="H53" s="2"/>
      <c r="I53" s="2"/>
      <c r="J53" s="2"/>
      <c r="K53" s="2"/>
      <c r="L53" s="2"/>
      <c r="M53" s="34"/>
      <c r="N53" s="34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8:8" s="8" customFormat="1">
      <c r="A54" s="66" t="s">
        <v>407</v>
      </c>
      <c r="B54" s="61"/>
      <c r="C54" s="2"/>
      <c r="D54" s="2"/>
      <c r="E54" s="2"/>
      <c r="F54" s="2"/>
      <c r="G54" s="61"/>
      <c r="H54" s="2"/>
      <c r="I54" s="2"/>
      <c r="J54" s="2"/>
      <c r="K54" s="2"/>
      <c r="L54" s="2"/>
      <c r="M54" s="34"/>
      <c r="N54" s="34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8:8" s="8" customFormat="1">
      <c r="A55" s="66" t="s">
        <v>401</v>
      </c>
      <c r="B55" s="61"/>
      <c r="C55" s="61"/>
      <c r="D55" s="2"/>
      <c r="E55" s="2"/>
      <c r="F55" s="2"/>
      <c r="G55" s="2"/>
      <c r="H55" s="2"/>
      <c r="I55" s="2"/>
      <c r="J55" s="2"/>
      <c r="K55" s="2"/>
      <c r="L55" s="67"/>
      <c r="M55" s="34"/>
      <c r="N55" s="34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8:8" s="7" customFormat="1">
      <c r="A56" s="66" t="s">
        <v>459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67"/>
      <c r="M56" s="3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8:8" s="7" ht="12.0" customFormat="1">
      <c r="A57" s="66" t="s">
        <v>402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8:8" s="7" ht="12.0" customFormat="1">
      <c r="A58" s="1" t="s">
        <v>117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8:8" s="7" customFormat="1">
      <c r="A59" s="66" t="s">
        <v>403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67"/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8:8" s="7" ht="12.0" customFormat="1">
      <c r="A60" s="1" t="s">
        <v>118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8:8">
      <c r="A61" s="66" t="s">
        <v>404</v>
      </c>
      <c r="B61" s="2"/>
      <c r="M61" s="3"/>
    </row>
    <row r="62" spans="8:8">
      <c r="A62" s="66" t="s">
        <v>405</v>
      </c>
      <c r="B62" s="2"/>
      <c r="M62" s="3"/>
    </row>
    <row r="63" spans="8:8" s="7" ht="12.0" customFormat="1">
      <c r="A63" s="1" t="s">
        <v>119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8:8" s="5" customFormat="1">
      <c r="A64" s="5" t="s">
        <v>406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8:8" s="7" ht="12.0" customFormat="1">
      <c r="C65" s="3"/>
      <c r="D65" s="3"/>
      <c r="E65" s="3"/>
      <c r="F65" s="3"/>
      <c r="G65" s="3"/>
      <c r="H65" s="3"/>
      <c r="I65" s="3"/>
      <c r="J65" s="3"/>
      <c r="K65" s="3"/>
      <c r="L65" s="3"/>
      <c r="M65" s="61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8:8">
      <c r="M66" s="61"/>
    </row>
    <row r="75" spans="8:8">
      <c r="A75" s="7"/>
      <c r="B75" s="17"/>
      <c r="C75" s="61"/>
      <c r="D75" s="61"/>
      <c r="E75" s="61"/>
      <c r="F75" s="61"/>
      <c r="G75" s="61"/>
    </row>
    <row r="76" spans="8:8">
      <c r="B76" s="17"/>
      <c r="C76" s="61"/>
      <c r="L76" s="34"/>
      <c r="M76" s="34"/>
    </row>
    <row r="77" spans="8:8">
      <c r="L77" s="34"/>
      <c r="M77" s="3"/>
    </row>
    <row r="78" spans="8:8">
      <c r="L78" s="34"/>
      <c r="M78" s="34"/>
    </row>
    <row r="79" spans="8:8">
      <c r="D79" s="34"/>
      <c r="E79" s="34"/>
      <c r="F79" s="34"/>
      <c r="G79" s="34"/>
      <c r="H79" s="34"/>
      <c r="I79" s="34"/>
      <c r="L79" s="34"/>
    </row>
  </sheetData>
  <pageMargins left="0.708661417322835" right="0.708661417322835" top="0.748031496062992" bottom="0.748031496062992" header="0.31496062992126" footer="0.31496062992126"/>
  <pageSetup paperSize="9" scale="79" orientation="landscape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H70"/>
  <sheetViews>
    <sheetView workbookViewId="0">
      <selection activeCell="A1" sqref="A1:K1"/>
    </sheetView>
  </sheetViews>
  <sheetFormatPr defaultRowHeight="12.0"/>
  <cols>
    <col min="1" max="1" customWidth="1" width="33.85547" style="66"/>
    <col min="2" max="2" customWidth="1" width="8.7109375" style="76"/>
    <col min="3" max="3" customWidth="1" bestFit="1" width="11.0" style="76"/>
    <col min="4" max="4" customWidth="1" width="11.140625" style="76"/>
    <col min="5" max="7" customWidth="1" width="12.140625" style="76"/>
    <col min="8" max="8" customWidth="1" width="12.285156" style="76"/>
    <col min="9" max="9" customWidth="1" width="13.425781" style="76"/>
    <col min="10" max="11" customWidth="1" width="12.7109375" style="76"/>
    <col min="12" max="12" customWidth="1" width="8.285156" style="68"/>
    <col min="13" max="13" customWidth="1" width="10.5703125" style="66"/>
    <col min="14" max="14" customWidth="1" width="12.7109375" style="66"/>
    <col min="15" max="15" customWidth="1" width="14.7109375" style="66"/>
    <col min="16" max="16384" customWidth="0" width="8.855469" style="66"/>
  </cols>
  <sheetData>
    <row r="1" spans="8:8" ht="15.0" customHeight="1">
      <c r="A1" s="162" t="s">
        <v>526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8:8">
      <c r="A2" s="23"/>
      <c r="B2" s="147" t="s">
        <v>2</v>
      </c>
      <c r="C2" s="147">
        <v>1.0</v>
      </c>
      <c r="D2" s="147">
        <v>2.0</v>
      </c>
      <c r="E2" s="147">
        <v>3.0</v>
      </c>
      <c r="F2" s="147">
        <v>4.0</v>
      </c>
      <c r="G2" s="147">
        <v>5.0</v>
      </c>
      <c r="H2" s="147">
        <v>6.0</v>
      </c>
      <c r="I2" s="147">
        <v>7.0</v>
      </c>
      <c r="J2" s="147" t="s">
        <v>339</v>
      </c>
      <c r="K2" s="147" t="s">
        <v>340</v>
      </c>
      <c r="L2" s="69"/>
    </row>
    <row r="3" spans="8:8">
      <c r="A3" s="95" t="s">
        <v>341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M3" s="36"/>
      <c r="N3" s="36"/>
    </row>
    <row r="4" spans="8:8">
      <c r="A4" s="95" t="s">
        <v>342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Y4" s="36"/>
    </row>
    <row r="5" spans="8:8">
      <c r="A5" s="99" t="s">
        <v>343</v>
      </c>
      <c r="B5" s="148" t="s">
        <v>344</v>
      </c>
      <c r="C5" s="24">
        <v>20.0</v>
      </c>
      <c r="D5" s="24"/>
      <c r="E5" s="24"/>
      <c r="F5" s="24"/>
      <c r="G5" s="24"/>
      <c r="H5" s="24"/>
      <c r="I5" s="24"/>
      <c r="J5" s="24"/>
      <c r="K5" s="24"/>
    </row>
    <row r="6" spans="8:8">
      <c r="A6" s="23" t="s">
        <v>345</v>
      </c>
      <c r="B6" s="148" t="s">
        <v>344</v>
      </c>
      <c r="C6" s="24">
        <v>16.0</v>
      </c>
      <c r="D6" s="24">
        <v>5.0</v>
      </c>
      <c r="E6" s="24">
        <v>5.0</v>
      </c>
      <c r="F6" s="24">
        <v>5.0</v>
      </c>
      <c r="G6" s="24">
        <v>5.0</v>
      </c>
      <c r="H6" s="24">
        <v>5.0</v>
      </c>
      <c r="I6" s="24">
        <v>5.0</v>
      </c>
      <c r="J6" s="24">
        <v>5.0</v>
      </c>
      <c r="K6" s="24">
        <v>5.0</v>
      </c>
      <c r="O6" s="8"/>
      <c r="P6" s="8"/>
      <c r="Q6" s="8"/>
      <c r="R6" s="8"/>
      <c r="S6" s="8"/>
    </row>
    <row r="7" spans="8:8" ht="24.0">
      <c r="A7" s="99" t="s">
        <v>346</v>
      </c>
      <c r="B7" s="148" t="s">
        <v>344</v>
      </c>
      <c r="C7" s="24">
        <v>30.0</v>
      </c>
      <c r="D7" s="24"/>
      <c r="E7" s="24"/>
      <c r="F7" s="24"/>
      <c r="G7" s="24"/>
      <c r="H7" s="24"/>
      <c r="I7" s="24"/>
      <c r="J7" s="24"/>
      <c r="K7" s="24"/>
      <c r="O7" s="8"/>
      <c r="P7" s="8"/>
      <c r="Q7" s="8"/>
      <c r="R7" s="8"/>
      <c r="S7" s="8"/>
      <c r="U7" s="294"/>
      <c r="AD7" s="66">
        <v>150.0</v>
      </c>
    </row>
    <row r="8" spans="8:8" ht="15.75" customHeight="1">
      <c r="A8" s="99" t="s">
        <v>347</v>
      </c>
      <c r="B8" s="148" t="s">
        <v>344</v>
      </c>
      <c r="C8" s="24">
        <v>12.0</v>
      </c>
      <c r="D8" s="24"/>
      <c r="E8" s="24"/>
      <c r="F8" s="24"/>
      <c r="G8" s="24"/>
      <c r="H8" s="24"/>
      <c r="I8" s="24"/>
      <c r="J8" s="24"/>
      <c r="K8" s="24"/>
      <c r="O8" s="8"/>
      <c r="P8" s="8"/>
      <c r="Q8" s="8"/>
      <c r="R8" s="8"/>
      <c r="S8" s="8"/>
      <c r="T8" s="8"/>
      <c r="U8" s="8"/>
      <c r="V8" s="8"/>
    </row>
    <row r="9" spans="8:8" ht="24.75" customHeight="1">
      <c r="A9" s="99" t="s">
        <v>348</v>
      </c>
      <c r="B9" s="148" t="s">
        <v>344</v>
      </c>
      <c r="C9" s="24">
        <v>6.0</v>
      </c>
      <c r="D9" s="24"/>
      <c r="E9" s="24"/>
      <c r="F9" s="24"/>
      <c r="G9" s="24"/>
      <c r="H9" s="24"/>
      <c r="I9" s="24"/>
      <c r="J9" s="24"/>
      <c r="K9" s="24"/>
      <c r="O9" s="8"/>
      <c r="P9" s="8"/>
      <c r="Q9" s="8"/>
      <c r="R9" s="8"/>
      <c r="S9" s="8"/>
    </row>
    <row r="10" spans="8:8">
      <c r="A10" s="99" t="s">
        <v>349</v>
      </c>
      <c r="B10" s="148"/>
      <c r="C10" s="24">
        <v>5.0</v>
      </c>
      <c r="D10" s="24"/>
      <c r="E10" s="24"/>
      <c r="F10" s="24"/>
      <c r="G10" s="24"/>
      <c r="H10" s="24"/>
      <c r="I10" s="24"/>
      <c r="J10" s="24"/>
      <c r="K10" s="24"/>
      <c r="O10" s="98"/>
      <c r="P10" s="8"/>
      <c r="Q10" s="8"/>
      <c r="R10" s="8"/>
      <c r="S10" s="8"/>
      <c r="T10" s="8"/>
      <c r="U10" s="8"/>
      <c r="V10" s="8"/>
    </row>
    <row r="11" spans="8:8">
      <c r="A11" s="23" t="s">
        <v>42</v>
      </c>
      <c r="B11" s="148"/>
      <c r="C11" s="24">
        <v>3.0</v>
      </c>
      <c r="D11" s="24">
        <v>2.0</v>
      </c>
      <c r="E11" s="24">
        <v>2.0</v>
      </c>
      <c r="F11" s="24"/>
      <c r="G11" s="24"/>
      <c r="H11" s="24"/>
      <c r="I11" s="24"/>
      <c r="J11" s="24"/>
      <c r="K11" s="24"/>
      <c r="O11" s="98"/>
      <c r="P11" s="8"/>
      <c r="Q11" s="8"/>
      <c r="R11" s="8"/>
      <c r="S11" s="8"/>
      <c r="T11" s="8"/>
      <c r="AD11" s="66">
        <v>20.0</v>
      </c>
      <c r="AE11" s="66">
        <v>20.0</v>
      </c>
      <c r="AF11" s="66">
        <v>20.0</v>
      </c>
      <c r="AG11" s="66">
        <v>20.0</v>
      </c>
    </row>
    <row r="12" spans="8:8">
      <c r="A12" s="23" t="s">
        <v>350</v>
      </c>
      <c r="B12" s="148" t="s">
        <v>344</v>
      </c>
      <c r="C12" s="24">
        <v>8.0</v>
      </c>
      <c r="D12" s="24">
        <v>12.0</v>
      </c>
      <c r="E12" s="24">
        <v>10.0</v>
      </c>
      <c r="F12" s="24">
        <v>10.0</v>
      </c>
      <c r="G12" s="24">
        <v>10.0</v>
      </c>
      <c r="H12" s="24">
        <v>8.0</v>
      </c>
      <c r="I12" s="24">
        <v>8.0</v>
      </c>
      <c r="J12" s="24">
        <v>8.0</v>
      </c>
      <c r="K12" s="24">
        <v>8.0</v>
      </c>
      <c r="O12" s="98"/>
      <c r="P12" s="8"/>
      <c r="Q12" s="8"/>
      <c r="R12" s="8"/>
      <c r="S12" s="8"/>
      <c r="T12" s="8"/>
      <c r="U12" s="8"/>
      <c r="V12" s="8"/>
    </row>
    <row r="13" spans="8:8" ht="24.0">
      <c r="A13" s="99" t="s">
        <v>351</v>
      </c>
      <c r="B13" s="148" t="s">
        <v>344</v>
      </c>
      <c r="C13" s="24">
        <v>8.0</v>
      </c>
      <c r="D13" s="24">
        <v>10.0</v>
      </c>
      <c r="E13" s="24">
        <v>10.0</v>
      </c>
      <c r="F13" s="24">
        <v>12.0</v>
      </c>
      <c r="G13" s="24">
        <v>12.0</v>
      </c>
      <c r="H13" s="24">
        <v>12.0</v>
      </c>
      <c r="I13" s="24">
        <v>12.0</v>
      </c>
      <c r="J13" s="24">
        <v>12.0</v>
      </c>
      <c r="K13" s="24">
        <v>12.0</v>
      </c>
      <c r="AD13" s="66">
        <v>10.0</v>
      </c>
      <c r="AE13" s="66">
        <v>10.0</v>
      </c>
      <c r="AF13" s="66">
        <v>10.0</v>
      </c>
      <c r="AG13" s="66">
        <v>10.0</v>
      </c>
    </row>
    <row r="14" spans="8:8" ht="25.5" customHeight="1">
      <c r="A14" s="99" t="s">
        <v>352</v>
      </c>
      <c r="B14" s="148" t="s">
        <v>344</v>
      </c>
      <c r="C14" s="24">
        <v>12.0</v>
      </c>
      <c r="D14" s="24">
        <v>15.0</v>
      </c>
      <c r="E14" s="24">
        <v>15.0</v>
      </c>
      <c r="F14" s="24">
        <v>15.0</v>
      </c>
      <c r="G14" s="24">
        <v>15.0</v>
      </c>
      <c r="H14" s="24">
        <v>15.0</v>
      </c>
      <c r="I14" s="24">
        <v>15.0</v>
      </c>
      <c r="J14" s="24">
        <v>15.0</v>
      </c>
      <c r="K14" s="24">
        <v>15.0</v>
      </c>
      <c r="O14" s="98"/>
    </row>
    <row r="15" spans="8:8" ht="15.0" customHeight="1">
      <c r="A15" s="23" t="s">
        <v>21</v>
      </c>
      <c r="B15" s="148" t="s">
        <v>344</v>
      </c>
      <c r="C15" s="24">
        <v>3.0</v>
      </c>
      <c r="D15" s="24">
        <v>2.0</v>
      </c>
      <c r="E15" s="24">
        <v>2.0</v>
      </c>
      <c r="F15" s="24">
        <v>2.0</v>
      </c>
      <c r="G15" s="24">
        <v>2.0</v>
      </c>
      <c r="H15" s="24">
        <v>2.0</v>
      </c>
      <c r="I15" s="24">
        <v>2.0</v>
      </c>
      <c r="J15" s="24">
        <v>2.0</v>
      </c>
      <c r="K15" s="24">
        <v>2.0</v>
      </c>
      <c r="P15" s="8"/>
      <c r="Q15" s="8"/>
      <c r="R15" s="8"/>
      <c r="S15" s="8"/>
      <c r="T15" s="8"/>
      <c r="U15" s="8"/>
      <c r="V15" s="8"/>
    </row>
    <row r="16" spans="8:8">
      <c r="A16" s="23" t="s">
        <v>353</v>
      </c>
      <c r="B16" s="148" t="s">
        <v>344</v>
      </c>
      <c r="C16" s="24"/>
      <c r="D16" s="24"/>
      <c r="E16" s="24">
        <v>11.0</v>
      </c>
      <c r="F16" s="24">
        <v>43.0</v>
      </c>
      <c r="G16" s="24">
        <v>84.0</v>
      </c>
      <c r="H16" s="24">
        <v>88.0</v>
      </c>
      <c r="I16" s="24">
        <v>100.0</v>
      </c>
      <c r="J16" s="24">
        <v>90.0</v>
      </c>
      <c r="K16" s="24">
        <v>79.0</v>
      </c>
    </row>
    <row r="17" spans="8:8">
      <c r="A17" s="23" t="s">
        <v>14</v>
      </c>
      <c r="B17" s="148" t="s">
        <v>344</v>
      </c>
      <c r="C17" s="24"/>
      <c r="D17" s="24"/>
      <c r="E17" s="24">
        <v>10.0</v>
      </c>
      <c r="F17" s="24">
        <v>36.0</v>
      </c>
      <c r="G17" s="24">
        <v>67.0</v>
      </c>
      <c r="H17" s="24">
        <v>73.0</v>
      </c>
      <c r="I17" s="24">
        <v>85.0</v>
      </c>
      <c r="J17" s="24">
        <v>76.0</v>
      </c>
      <c r="K17" s="24">
        <v>67.0</v>
      </c>
      <c r="O17" s="8"/>
      <c r="P17" s="8"/>
      <c r="Q17" s="8"/>
      <c r="R17" s="8"/>
      <c r="S17" s="8"/>
    </row>
    <row r="18" spans="8:8">
      <c r="A18" s="23" t="s">
        <v>5</v>
      </c>
      <c r="B18" s="148" t="s">
        <v>344</v>
      </c>
      <c r="C18" s="24">
        <v>3.0</v>
      </c>
      <c r="D18" s="24">
        <v>3.0</v>
      </c>
      <c r="E18" s="24">
        <v>3.0</v>
      </c>
      <c r="F18" s="24">
        <v>3.0</v>
      </c>
      <c r="G18" s="24">
        <v>3.0</v>
      </c>
      <c r="H18" s="24">
        <v>3.0</v>
      </c>
      <c r="I18" s="24">
        <v>3.0</v>
      </c>
      <c r="J18" s="24">
        <v>3.0</v>
      </c>
      <c r="K18" s="24">
        <v>3.0</v>
      </c>
      <c r="O18" s="8"/>
      <c r="P18" s="8"/>
      <c r="Q18" s="8"/>
      <c r="R18" s="8"/>
      <c r="S18" s="8"/>
      <c r="U18" s="294"/>
    </row>
    <row r="19" spans="8:8">
      <c r="A19" s="23" t="s">
        <v>237</v>
      </c>
      <c r="B19" s="148" t="s">
        <v>344</v>
      </c>
      <c r="C19" s="24">
        <v>126.0</v>
      </c>
      <c r="D19" s="24">
        <v>49.0</v>
      </c>
      <c r="E19" s="24">
        <v>68.0</v>
      </c>
      <c r="F19" s="24">
        <v>126.0</v>
      </c>
      <c r="G19" s="24">
        <v>198.0</v>
      </c>
      <c r="H19" s="24">
        <v>206.0</v>
      </c>
      <c r="I19" s="24">
        <v>230.0</v>
      </c>
      <c r="J19" s="24">
        <v>211.0</v>
      </c>
      <c r="K19" s="24">
        <v>191.0</v>
      </c>
      <c r="O19" s="8"/>
      <c r="P19" s="8"/>
      <c r="Q19" s="8"/>
      <c r="R19" s="8"/>
      <c r="S19" s="8"/>
      <c r="T19" s="8"/>
      <c r="U19" s="8"/>
      <c r="V19" s="8"/>
    </row>
    <row r="20" spans="8:8">
      <c r="A20" s="23" t="s">
        <v>238</v>
      </c>
      <c r="B20" s="148" t="s">
        <v>16</v>
      </c>
      <c r="C20" s="24">
        <v>315.0</v>
      </c>
      <c r="D20" s="24">
        <v>122.5</v>
      </c>
      <c r="E20" s="24">
        <v>170.0</v>
      </c>
      <c r="F20" s="24">
        <v>315.0</v>
      </c>
      <c r="G20" s="24">
        <v>495.0</v>
      </c>
      <c r="H20" s="24">
        <v>515.0</v>
      </c>
      <c r="I20" s="24">
        <v>575.0</v>
      </c>
      <c r="J20" s="24">
        <v>527.5</v>
      </c>
      <c r="K20" s="24">
        <v>477.5</v>
      </c>
      <c r="P20" s="8"/>
      <c r="Q20" s="8"/>
      <c r="R20" s="8"/>
      <c r="S20" s="8"/>
      <c r="T20" s="8"/>
      <c r="U20" s="8"/>
      <c r="V20" s="8"/>
    </row>
    <row r="21" spans="8:8">
      <c r="A21" s="95" t="s">
        <v>365</v>
      </c>
      <c r="B21" s="147" t="s">
        <v>17</v>
      </c>
      <c r="C21" s="43">
        <f>C20*1500</f>
        <v>472500.0</v>
      </c>
      <c r="D21" s="43">
        <f t="shared" si="0" ref="D21:K21">D20*1500</f>
        <v>183750.0</v>
      </c>
      <c r="E21" s="43">
        <f t="shared" si="0"/>
        <v>255000.0</v>
      </c>
      <c r="F21" s="43">
        <f t="shared" si="0"/>
        <v>472500.0</v>
      </c>
      <c r="G21" s="43">
        <f t="shared" si="0"/>
        <v>742500.0</v>
      </c>
      <c r="H21" s="43">
        <f t="shared" si="0"/>
        <v>772500.0</v>
      </c>
      <c r="I21" s="43">
        <f t="shared" si="0"/>
        <v>862500.0</v>
      </c>
      <c r="J21" s="43">
        <f t="shared" si="0"/>
        <v>791250.0</v>
      </c>
      <c r="K21" s="43">
        <f t="shared" si="0"/>
        <v>716250.0</v>
      </c>
    </row>
    <row r="22" spans="8:8">
      <c r="C22" s="159"/>
      <c r="D22" s="159"/>
      <c r="E22" s="159"/>
      <c r="F22" s="159"/>
      <c r="G22" s="159"/>
      <c r="H22" s="159"/>
      <c r="I22" s="159"/>
      <c r="J22" s="159"/>
      <c r="K22" s="159"/>
    </row>
    <row r="23" spans="8:8">
      <c r="A23" s="36" t="s">
        <v>25</v>
      </c>
      <c r="C23" s="159"/>
      <c r="D23" s="159"/>
      <c r="E23" s="159"/>
      <c r="F23" s="159"/>
      <c r="G23" s="159"/>
      <c r="H23" s="159"/>
      <c r="I23" s="159"/>
      <c r="J23" s="159"/>
      <c r="K23" s="159"/>
      <c r="O23" s="8"/>
    </row>
    <row r="24" spans="8:8">
      <c r="A24" s="23" t="s">
        <v>44</v>
      </c>
      <c r="B24" s="148" t="s">
        <v>354</v>
      </c>
      <c r="C24" s="153">
        <v>4000.0</v>
      </c>
      <c r="D24" s="153"/>
      <c r="E24" s="153"/>
      <c r="F24" s="153"/>
      <c r="G24" s="153"/>
      <c r="H24" s="153"/>
      <c r="I24" s="153"/>
      <c r="J24" s="153"/>
      <c r="K24" s="153"/>
    </row>
    <row r="25" spans="8:8" ht="24.0">
      <c r="A25" s="99" t="s">
        <v>478</v>
      </c>
      <c r="B25" s="148" t="s">
        <v>354</v>
      </c>
      <c r="C25" s="153">
        <f>9*16000</f>
        <v>144000.0</v>
      </c>
      <c r="D25" s="153"/>
      <c r="E25" s="153"/>
      <c r="F25" s="153"/>
      <c r="G25" s="153"/>
      <c r="H25" s="153"/>
      <c r="I25" s="153"/>
      <c r="J25" s="153"/>
      <c r="K25" s="153"/>
    </row>
    <row r="26" spans="8:8" ht="24.0">
      <c r="A26" s="99" t="s">
        <v>469</v>
      </c>
      <c r="B26" s="148" t="s">
        <v>354</v>
      </c>
      <c r="C26" s="153">
        <f>2750*40</f>
        <v>110000.0</v>
      </c>
      <c r="D26" s="153">
        <f>200*40</f>
        <v>8000.0</v>
      </c>
      <c r="E26" s="153"/>
      <c r="F26" s="153"/>
      <c r="G26" s="153"/>
      <c r="H26" s="153"/>
      <c r="I26" s="153"/>
      <c r="J26" s="153"/>
      <c r="K26" s="153"/>
      <c r="O26" s="8"/>
      <c r="P26" s="8"/>
      <c r="Q26" s="8"/>
      <c r="R26" s="8"/>
      <c r="S26" s="8"/>
      <c r="T26" s="8"/>
      <c r="U26" s="8"/>
      <c r="V26" s="8"/>
    </row>
    <row r="27" spans="8:8" ht="15.0" customHeight="1">
      <c r="A27" s="99" t="s">
        <v>355</v>
      </c>
      <c r="B27" s="148" t="s">
        <v>17</v>
      </c>
      <c r="C27" s="153">
        <v>30000.0</v>
      </c>
      <c r="D27" s="153">
        <v>18000.0</v>
      </c>
      <c r="E27" s="153">
        <v>18000.0</v>
      </c>
      <c r="F27" s="153">
        <v>18000.0</v>
      </c>
      <c r="G27" s="153">
        <v>18000.0</v>
      </c>
      <c r="H27" s="153">
        <v>18000.0</v>
      </c>
      <c r="I27" s="153">
        <v>18000.0</v>
      </c>
      <c r="J27" s="153">
        <v>18000.0</v>
      </c>
      <c r="K27" s="153">
        <v>18000.0</v>
      </c>
      <c r="O27" s="8"/>
      <c r="P27" s="8"/>
      <c r="Q27" s="8"/>
      <c r="R27" s="8"/>
      <c r="S27" s="8"/>
      <c r="T27" s="8"/>
      <c r="U27" s="8"/>
      <c r="V27" s="8"/>
    </row>
    <row r="28" spans="8:8">
      <c r="A28" s="99" t="s">
        <v>356</v>
      </c>
      <c r="B28" s="148"/>
      <c r="C28" s="153">
        <v>8000.0</v>
      </c>
      <c r="D28" s="153">
        <v>8000.0</v>
      </c>
      <c r="E28" s="153">
        <v>8000.0</v>
      </c>
      <c r="F28" s="153">
        <v>8000.0</v>
      </c>
      <c r="G28" s="153">
        <v>8000.0</v>
      </c>
      <c r="H28" s="153">
        <v>8000.0</v>
      </c>
      <c r="I28" s="153">
        <v>8000.0</v>
      </c>
      <c r="J28" s="153">
        <v>8000.0</v>
      </c>
      <c r="K28" s="153">
        <v>16000.0</v>
      </c>
      <c r="M28" s="75"/>
      <c r="O28" s="8"/>
      <c r="P28" s="8"/>
      <c r="Q28" s="8"/>
      <c r="R28" s="8"/>
      <c r="S28" s="8"/>
      <c r="T28" s="8"/>
      <c r="U28" s="8"/>
      <c r="V28" s="8"/>
    </row>
    <row r="29" spans="8:8">
      <c r="A29" s="95" t="s">
        <v>357</v>
      </c>
      <c r="B29" s="147" t="s">
        <v>17</v>
      </c>
      <c r="C29" s="43">
        <f>C24+C25+C26+C27+C28</f>
        <v>296000.0</v>
      </c>
      <c r="D29" s="43">
        <f t="shared" si="1" ref="D29:K29">D24+D25+D26+D27+D28</f>
        <v>34000.0</v>
      </c>
      <c r="E29" s="43">
        <f t="shared" si="1"/>
        <v>26000.0</v>
      </c>
      <c r="F29" s="43">
        <f t="shared" si="1"/>
        <v>26000.0</v>
      </c>
      <c r="G29" s="43">
        <f t="shared" si="1"/>
        <v>26000.0</v>
      </c>
      <c r="H29" s="43">
        <f t="shared" si="1"/>
        <v>26000.0</v>
      </c>
      <c r="I29" s="43">
        <f t="shared" si="1"/>
        <v>26000.0</v>
      </c>
      <c r="J29" s="43">
        <f t="shared" si="1"/>
        <v>26000.0</v>
      </c>
      <c r="K29" s="43">
        <f t="shared" si="1"/>
        <v>34000.0</v>
      </c>
    </row>
    <row r="30" spans="8:8">
      <c r="A30" s="45" t="s">
        <v>358</v>
      </c>
      <c r="B30" s="315" t="s">
        <v>17</v>
      </c>
      <c r="C30" s="46">
        <f>C29+C21</f>
        <v>768500.0</v>
      </c>
      <c r="D30" s="46">
        <f t="shared" si="2" ref="D30:K30">D29+D21</f>
        <v>217750.0</v>
      </c>
      <c r="E30" s="46">
        <f t="shared" si="2"/>
        <v>281000.0</v>
      </c>
      <c r="F30" s="46">
        <f t="shared" si="2"/>
        <v>498500.0</v>
      </c>
      <c r="G30" s="46">
        <f t="shared" si="2"/>
        <v>768500.0</v>
      </c>
      <c r="H30" s="46">
        <f t="shared" si="2"/>
        <v>798500.0</v>
      </c>
      <c r="I30" s="46">
        <f t="shared" si="2"/>
        <v>888500.0</v>
      </c>
      <c r="J30" s="46">
        <f t="shared" si="2"/>
        <v>817250.0</v>
      </c>
      <c r="K30" s="46">
        <f t="shared" si="2"/>
        <v>750250.0</v>
      </c>
      <c r="M30" s="75"/>
      <c r="N30" s="75"/>
    </row>
    <row r="31" spans="8:8">
      <c r="A31" s="23"/>
      <c r="B31" s="148"/>
      <c r="C31" s="153"/>
      <c r="D31" s="153"/>
      <c r="E31" s="153"/>
      <c r="F31" s="153"/>
      <c r="G31" s="153"/>
      <c r="H31" s="153"/>
      <c r="I31" s="153"/>
      <c r="J31" s="153"/>
      <c r="K31" s="153"/>
    </row>
    <row r="32" spans="8:8">
      <c r="A32" s="95" t="s">
        <v>18</v>
      </c>
      <c r="B32" s="148"/>
      <c r="C32" s="153"/>
      <c r="D32" s="153"/>
      <c r="E32" s="153"/>
      <c r="F32" s="153"/>
      <c r="G32" s="153"/>
      <c r="H32" s="153"/>
      <c r="I32" s="153"/>
      <c r="J32" s="153"/>
      <c r="K32" s="153"/>
    </row>
    <row r="33" spans="8:8">
      <c r="A33" s="31" t="s">
        <v>359</v>
      </c>
      <c r="B33" s="148" t="s">
        <v>161</v>
      </c>
      <c r="C33" s="153"/>
      <c r="D33" s="153"/>
      <c r="E33" s="153">
        <v>200.0</v>
      </c>
      <c r="F33" s="153">
        <v>843.0</v>
      </c>
      <c r="G33" s="153">
        <v>1575.0</v>
      </c>
      <c r="H33" s="153">
        <v>1732.0</v>
      </c>
      <c r="I33" s="153">
        <v>1980.0</v>
      </c>
      <c r="J33" s="153">
        <v>1771.0</v>
      </c>
      <c r="K33" s="153">
        <v>1556.0</v>
      </c>
      <c r="N33" s="75"/>
    </row>
    <row r="34" spans="8:8" ht="26.45" customHeight="1">
      <c r="A34" s="52" t="s">
        <v>504</v>
      </c>
      <c r="B34" s="316" t="s">
        <v>17</v>
      </c>
      <c r="C34" s="54"/>
      <c r="D34" s="54"/>
      <c r="E34" s="54">
        <f>E33*5500</f>
        <v>1100000.0</v>
      </c>
      <c r="F34" s="54">
        <f t="shared" si="3" ref="F34:K34">F33*5500</f>
        <v>4636500.0</v>
      </c>
      <c r="G34" s="54">
        <f t="shared" si="3"/>
        <v>8662500.0</v>
      </c>
      <c r="H34" s="54">
        <f t="shared" si="3"/>
        <v>9526000.0</v>
      </c>
      <c r="I34" s="54">
        <f t="shared" si="3"/>
        <v>1.089E7</v>
      </c>
      <c r="J34" s="54">
        <f t="shared" si="3"/>
        <v>9740500.0</v>
      </c>
      <c r="K34" s="54">
        <f t="shared" si="3"/>
        <v>8558000.0</v>
      </c>
    </row>
    <row r="35" spans="8:8" s="178" ht="13.5" customFormat="1" customHeight="1">
      <c r="A35" s="179" t="s">
        <v>19</v>
      </c>
      <c r="B35" s="317" t="s">
        <v>17</v>
      </c>
      <c r="C35" s="55">
        <f>C34-C30</f>
        <v>-768500.0</v>
      </c>
      <c r="D35" s="55">
        <f t="shared" si="4" ref="D35:K35">D34-D30</f>
        <v>-217750.0</v>
      </c>
      <c r="E35" s="55">
        <f t="shared" si="4"/>
        <v>819000.0</v>
      </c>
      <c r="F35" s="55">
        <f t="shared" si="4"/>
        <v>4138000.0</v>
      </c>
      <c r="G35" s="55">
        <f t="shared" si="4"/>
        <v>7894000.0</v>
      </c>
      <c r="H35" s="55">
        <f t="shared" si="4"/>
        <v>8727500.0</v>
      </c>
      <c r="I35" s="55">
        <f t="shared" si="4"/>
        <v>1.00015E7</v>
      </c>
      <c r="J35" s="55">
        <f t="shared" si="4"/>
        <v>8923250.0</v>
      </c>
      <c r="K35" s="55">
        <f t="shared" si="4"/>
        <v>7807750.0</v>
      </c>
      <c r="L35" s="318"/>
    </row>
    <row r="36" spans="8:8" s="178" ht="13.5" customFormat="1" customHeight="1">
      <c r="A36" s="58" t="s">
        <v>393</v>
      </c>
      <c r="B36" s="319" t="s">
        <v>457</v>
      </c>
      <c r="C36" s="320"/>
      <c r="D36" s="320"/>
      <c r="E36" s="320"/>
      <c r="F36" s="320"/>
      <c r="G36" s="320"/>
      <c r="H36" s="320"/>
      <c r="I36" s="321">
        <f>I30/I33</f>
        <v>448.73737373737373</v>
      </c>
      <c r="J36" s="320"/>
      <c r="K36" s="320"/>
      <c r="L36" s="322"/>
    </row>
    <row r="37" spans="8:8" ht="13.5" customHeight="1">
      <c r="C37" s="159"/>
      <c r="D37" s="159"/>
      <c r="E37" s="159"/>
      <c r="F37" s="159"/>
      <c r="G37" s="159"/>
      <c r="H37" s="160"/>
      <c r="I37" s="160"/>
      <c r="J37" s="159"/>
      <c r="K37" s="159"/>
    </row>
    <row r="38" spans="8:8" ht="13.5" customHeight="1">
      <c r="C38" s="159"/>
      <c r="D38" s="159"/>
      <c r="E38" s="159"/>
      <c r="F38" s="159"/>
      <c r="G38" s="159"/>
      <c r="H38" s="160"/>
      <c r="I38" s="160"/>
      <c r="J38" s="159"/>
      <c r="K38" s="159"/>
    </row>
    <row r="39" spans="8:8" ht="13.5" customHeight="1">
      <c r="E39" s="323"/>
      <c r="F39" s="76" t="s">
        <v>503</v>
      </c>
      <c r="H39" s="68"/>
      <c r="I39" s="68"/>
    </row>
    <row r="40" spans="8:8" ht="13.5" customHeight="1">
      <c r="H40" s="68"/>
      <c r="I40" s="68"/>
    </row>
    <row r="41" spans="8:8" ht="15.75" customHeight="1">
      <c r="A41" s="36" t="s">
        <v>60</v>
      </c>
      <c r="B41" s="76" t="s">
        <v>360</v>
      </c>
    </row>
    <row r="42" spans="8:8">
      <c r="A42" s="66" t="s">
        <v>361</v>
      </c>
    </row>
    <row r="43" spans="8:8">
      <c r="M43" s="66" t="s">
        <v>103</v>
      </c>
    </row>
    <row r="44" spans="8:8">
      <c r="A44" s="36" t="s">
        <v>97</v>
      </c>
    </row>
    <row r="45" spans="8:8">
      <c r="A45" s="66" t="s">
        <v>362</v>
      </c>
    </row>
    <row r="46" spans="8:8">
      <c r="A46" s="66" t="s">
        <v>363</v>
      </c>
    </row>
    <row r="47" spans="8:8">
      <c r="A47" s="66" t="s">
        <v>364</v>
      </c>
    </row>
    <row r="48" spans="8:8">
      <c r="A48" s="66" t="s">
        <v>407</v>
      </c>
      <c r="B48" s="61"/>
      <c r="C48" s="2"/>
      <c r="D48" s="2"/>
      <c r="E48" s="2"/>
      <c r="F48" s="2"/>
      <c r="G48" s="61"/>
      <c r="H48" s="2"/>
    </row>
    <row r="49" spans="8:8">
      <c r="A49" s="66" t="s">
        <v>439</v>
      </c>
    </row>
    <row r="50" spans="8:8" s="5" customFormat="1">
      <c r="A50" s="5" t="s">
        <v>220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146"/>
      <c r="M50" s="4"/>
      <c r="N50" s="4"/>
      <c r="O50" s="4"/>
      <c r="P50" s="4"/>
      <c r="R50" s="181"/>
      <c r="S50" s="181"/>
      <c r="T50" s="181"/>
      <c r="U50" s="181"/>
      <c r="V50" s="181"/>
    </row>
    <row r="51" spans="8:8">
      <c r="D51" s="96"/>
    </row>
    <row r="52" spans="8:8">
      <c r="B52" s="96"/>
      <c r="C52" s="96"/>
      <c r="D52" s="96"/>
      <c r="E52" s="96"/>
      <c r="F52" s="96"/>
      <c r="G52" s="96"/>
      <c r="H52" s="96"/>
      <c r="I52" s="96"/>
    </row>
    <row r="53" spans="8:8">
      <c r="A53" s="36"/>
    </row>
    <row r="54" spans="8:8">
      <c r="A54" s="36"/>
    </row>
    <row r="55" spans="8:8">
      <c r="A55" s="36"/>
    </row>
    <row r="68" spans="8:8">
      <c r="P68" s="294"/>
    </row>
    <row r="70" spans="8:8">
      <c r="Q70" s="36"/>
      <c r="R70" s="36"/>
      <c r="S70" s="36"/>
      <c r="T70" s="36"/>
      <c r="U70" s="36"/>
      <c r="V70" s="36"/>
      <c r="W70" s="36"/>
      <c r="X70" s="36"/>
    </row>
  </sheetData>
  <mergeCells count="1">
    <mergeCell ref="A1:K1"/>
  </mergeCells>
  <pageMargins left="0.7" right="0.7" top="0.75" bottom="0.75" header="0.3" footer="0.3"/>
  <pageSetup paperSize="9" scale="77" orientation="landscape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89"/>
  <sheetViews>
    <sheetView workbookViewId="0">
      <selection activeCell="E1" sqref="E1"/>
    </sheetView>
  </sheetViews>
  <sheetFormatPr defaultRowHeight="12.75" defaultColWidth="9"/>
  <cols>
    <col min="1" max="1" customWidth="1" width="29.0" style="8"/>
    <col min="2" max="2" customWidth="0" width="9.285156" style="34"/>
    <col min="3" max="3" customWidth="1" width="12.285156" style="34"/>
    <col min="4" max="4" customWidth="1" width="12.7109375" style="34"/>
    <col min="5" max="5" customWidth="1" width="14.425781" style="34"/>
    <col min="6" max="6" customWidth="1" bestFit="1" width="11.425781" style="34"/>
    <col min="7" max="7" customWidth="1" width="12.7109375" style="34"/>
    <col min="8" max="8" customWidth="1" width="12.0" style="34"/>
    <col min="9" max="9" customWidth="1" width="12.285156" style="34"/>
    <col min="10" max="10" customWidth="0" width="9.285156" style="89"/>
    <col min="11" max="16384" customWidth="0" width="9.285156" style="8"/>
  </cols>
  <sheetData>
    <row r="1" spans="8:8">
      <c r="B1" s="8"/>
      <c r="C1" s="8"/>
      <c r="D1" s="8"/>
      <c r="E1" s="4" t="s">
        <v>527</v>
      </c>
    </row>
    <row r="2" spans="8:8">
      <c r="A2" s="324"/>
      <c r="B2" s="325" t="s">
        <v>15</v>
      </c>
      <c r="C2" s="325" t="s">
        <v>366</v>
      </c>
      <c r="D2" s="325" t="s">
        <v>367</v>
      </c>
      <c r="E2" s="325" t="s">
        <v>368</v>
      </c>
      <c r="F2" s="325" t="s">
        <v>369</v>
      </c>
      <c r="G2" s="325" t="s">
        <v>370</v>
      </c>
      <c r="H2" s="325" t="s">
        <v>371</v>
      </c>
      <c r="I2" s="325" t="s">
        <v>372</v>
      </c>
      <c r="J2" s="146"/>
      <c r="K2" s="5"/>
      <c r="L2" s="5"/>
      <c r="M2" s="34"/>
      <c r="N2" s="34"/>
      <c r="O2" s="34"/>
      <c r="P2" s="34"/>
      <c r="Q2" s="34"/>
      <c r="R2" s="34"/>
      <c r="S2" s="34"/>
    </row>
    <row r="3" spans="8:8">
      <c r="A3" s="324" t="s">
        <v>221</v>
      </c>
      <c r="B3" s="326"/>
      <c r="C3" s="326"/>
      <c r="D3" s="326"/>
      <c r="E3" s="326"/>
      <c r="F3" s="326"/>
      <c r="G3" s="326"/>
      <c r="H3" s="326"/>
      <c r="I3" s="326"/>
      <c r="M3" s="34"/>
      <c r="N3" s="34"/>
      <c r="O3" s="34"/>
      <c r="P3" s="34"/>
      <c r="Q3" s="34"/>
      <c r="R3" s="34"/>
      <c r="S3" s="34"/>
    </row>
    <row r="4" spans="8:8">
      <c r="A4" s="324" t="s">
        <v>342</v>
      </c>
      <c r="B4" s="326"/>
      <c r="C4" s="326"/>
      <c r="D4" s="326"/>
      <c r="E4" s="326"/>
      <c r="F4" s="326"/>
      <c r="G4" s="326"/>
      <c r="H4" s="326"/>
      <c r="I4" s="326"/>
      <c r="L4" s="5"/>
      <c r="O4" s="98"/>
    </row>
    <row r="5" spans="8:8">
      <c r="A5" s="151" t="s">
        <v>373</v>
      </c>
      <c r="B5" s="148" t="s">
        <v>204</v>
      </c>
      <c r="C5" s="100">
        <v>12.0</v>
      </c>
      <c r="D5" s="100">
        <v>4.0</v>
      </c>
      <c r="E5" s="100">
        <v>4.0</v>
      </c>
      <c r="F5" s="100">
        <v>4.0</v>
      </c>
      <c r="G5" s="100">
        <v>4.0</v>
      </c>
      <c r="H5" s="100">
        <v>4.0</v>
      </c>
      <c r="I5" s="100">
        <v>4.0</v>
      </c>
      <c r="L5" s="98"/>
      <c r="O5" s="98"/>
    </row>
    <row r="6" spans="8:8" ht="25.5">
      <c r="A6" s="327" t="s">
        <v>374</v>
      </c>
      <c r="B6" s="148" t="s">
        <v>204</v>
      </c>
      <c r="C6" s="100">
        <v>15.0</v>
      </c>
      <c r="D6" s="100"/>
      <c r="E6" s="100"/>
      <c r="F6" s="100"/>
      <c r="G6" s="100"/>
      <c r="H6" s="100"/>
      <c r="I6" s="100"/>
      <c r="L6" s="98"/>
    </row>
    <row r="7" spans="8:8" ht="17.25" customHeight="1">
      <c r="A7" s="327" t="s">
        <v>375</v>
      </c>
      <c r="B7" s="148" t="s">
        <v>204</v>
      </c>
      <c r="C7" s="100">
        <v>12.0</v>
      </c>
      <c r="D7" s="100">
        <v>4.0</v>
      </c>
      <c r="E7" s="100"/>
      <c r="F7" s="100"/>
      <c r="G7" s="100"/>
      <c r="H7" s="100"/>
      <c r="I7" s="100"/>
      <c r="L7" s="98"/>
      <c r="O7" s="98"/>
    </row>
    <row r="8" spans="8:8">
      <c r="A8" s="328" t="s">
        <v>376</v>
      </c>
      <c r="B8" s="148" t="s">
        <v>204</v>
      </c>
      <c r="C8" s="100">
        <v>2.0</v>
      </c>
      <c r="D8" s="100">
        <v>2.0</v>
      </c>
      <c r="E8" s="100">
        <v>2.0</v>
      </c>
      <c r="F8" s="100">
        <v>2.0</v>
      </c>
      <c r="G8" s="100">
        <v>2.0</v>
      </c>
      <c r="H8" s="100">
        <v>2.0</v>
      </c>
      <c r="I8" s="100">
        <v>2.0</v>
      </c>
      <c r="O8" s="98"/>
    </row>
    <row r="9" spans="8:8">
      <c r="A9" s="328" t="s">
        <v>377</v>
      </c>
      <c r="B9" s="148" t="s">
        <v>204</v>
      </c>
      <c r="C9" s="100">
        <v>16.0</v>
      </c>
      <c r="D9" s="100">
        <v>8.0</v>
      </c>
      <c r="E9" s="100">
        <v>8.0</v>
      </c>
      <c r="F9" s="100">
        <v>8.0</v>
      </c>
      <c r="G9" s="100">
        <v>8.0</v>
      </c>
      <c r="H9" s="100">
        <v>8.0</v>
      </c>
      <c r="I9" s="100">
        <v>6.0</v>
      </c>
      <c r="O9" s="98"/>
    </row>
    <row r="10" spans="8:8">
      <c r="A10" s="328" t="s">
        <v>378</v>
      </c>
      <c r="B10" s="148" t="s">
        <v>204</v>
      </c>
      <c r="C10" s="100">
        <v>12.0</v>
      </c>
      <c r="D10" s="100">
        <v>18.0</v>
      </c>
      <c r="E10" s="100">
        <v>18.0</v>
      </c>
      <c r="F10" s="100">
        <v>18.0</v>
      </c>
      <c r="G10" s="100">
        <v>18.0</v>
      </c>
      <c r="H10" s="100">
        <v>18.0</v>
      </c>
      <c r="I10" s="100">
        <v>14.0</v>
      </c>
      <c r="P10" s="98"/>
    </row>
    <row r="11" spans="8:8">
      <c r="A11" s="328" t="s">
        <v>5</v>
      </c>
      <c r="B11" s="148"/>
      <c r="C11" s="100">
        <v>2.0</v>
      </c>
      <c r="D11" s="100">
        <v>2.0</v>
      </c>
      <c r="E11" s="100">
        <v>2.0</v>
      </c>
      <c r="F11" s="100">
        <v>2.0</v>
      </c>
      <c r="G11" s="100">
        <v>2.0</v>
      </c>
      <c r="H11" s="100">
        <v>2.0</v>
      </c>
      <c r="I11" s="100">
        <v>2.0</v>
      </c>
    </row>
    <row r="12" spans="8:8">
      <c r="A12" s="151" t="s">
        <v>379</v>
      </c>
      <c r="B12" s="148" t="s">
        <v>204</v>
      </c>
      <c r="C12" s="100">
        <v>71.0</v>
      </c>
      <c r="D12" s="100">
        <v>38.0</v>
      </c>
      <c r="E12" s="100">
        <v>34.0</v>
      </c>
      <c r="F12" s="100">
        <v>34.0</v>
      </c>
      <c r="G12" s="100">
        <v>34.0</v>
      </c>
      <c r="H12" s="100">
        <v>34.0</v>
      </c>
      <c r="I12" s="100">
        <v>28.0</v>
      </c>
    </row>
    <row r="13" spans="8:8">
      <c r="A13" s="151" t="s">
        <v>380</v>
      </c>
      <c r="B13" s="148" t="s">
        <v>208</v>
      </c>
      <c r="C13" s="100">
        <v>177.5</v>
      </c>
      <c r="D13" s="100">
        <v>95.0</v>
      </c>
      <c r="E13" s="100">
        <v>85.0</v>
      </c>
      <c r="F13" s="100">
        <v>85.0</v>
      </c>
      <c r="G13" s="100">
        <v>85.0</v>
      </c>
      <c r="H13" s="100">
        <v>85.0</v>
      </c>
      <c r="I13" s="100">
        <v>70.0</v>
      </c>
    </row>
    <row r="14" spans="8:8">
      <c r="A14" s="324" t="s">
        <v>391</v>
      </c>
      <c r="B14" s="147" t="s">
        <v>240</v>
      </c>
      <c r="C14" s="263">
        <f>C13*1500</f>
        <v>266250.0</v>
      </c>
      <c r="D14" s="263">
        <f t="shared" si="0" ref="D14:I14">D13*1500</f>
        <v>142500.0</v>
      </c>
      <c r="E14" s="263">
        <f t="shared" si="0"/>
        <v>127500.0</v>
      </c>
      <c r="F14" s="263">
        <f t="shared" si="0"/>
        <v>127500.0</v>
      </c>
      <c r="G14" s="263">
        <f t="shared" si="0"/>
        <v>127500.0</v>
      </c>
      <c r="H14" s="263">
        <f t="shared" si="0"/>
        <v>127500.0</v>
      </c>
      <c r="I14" s="263">
        <f t="shared" si="0"/>
        <v>105000.0</v>
      </c>
    </row>
    <row r="15" spans="8:8">
      <c r="A15" s="328"/>
      <c r="B15" s="148"/>
      <c r="C15" s="265"/>
      <c r="D15" s="265"/>
      <c r="E15" s="265"/>
      <c r="F15" s="265"/>
      <c r="G15" s="265"/>
      <c r="H15" s="265"/>
      <c r="I15" s="265"/>
    </row>
    <row r="16" spans="8:8">
      <c r="A16" s="324" t="s">
        <v>25</v>
      </c>
      <c r="B16" s="326"/>
      <c r="C16" s="265"/>
      <c r="D16" s="265"/>
      <c r="E16" s="265"/>
      <c r="F16" s="265"/>
      <c r="G16" s="265"/>
      <c r="H16" s="265"/>
      <c r="I16" s="265"/>
    </row>
    <row r="17" spans="8:8">
      <c r="A17" s="328" t="s">
        <v>44</v>
      </c>
      <c r="B17" s="148" t="s">
        <v>240</v>
      </c>
      <c r="C17" s="265">
        <v>2000.0</v>
      </c>
      <c r="D17" s="265"/>
      <c r="E17" s="265"/>
      <c r="F17" s="265"/>
      <c r="G17" s="265"/>
      <c r="H17" s="265"/>
      <c r="I17" s="265"/>
    </row>
    <row r="18" spans="8:8" ht="25.9" customHeight="1">
      <c r="A18" s="329" t="s">
        <v>470</v>
      </c>
      <c r="B18" s="148" t="s">
        <v>240</v>
      </c>
      <c r="C18" s="265">
        <f>27500*3</f>
        <v>82500.0</v>
      </c>
      <c r="D18" s="265">
        <f>C18/10</f>
        <v>8250.0</v>
      </c>
      <c r="E18" s="265"/>
      <c r="F18" s="265"/>
      <c r="G18" s="265"/>
      <c r="H18" s="265"/>
      <c r="I18" s="265"/>
    </row>
    <row r="19" spans="8:8">
      <c r="A19" s="328" t="s">
        <v>40</v>
      </c>
      <c r="B19" s="148" t="s">
        <v>196</v>
      </c>
      <c r="C19" s="265">
        <v>380.0</v>
      </c>
      <c r="D19" s="265">
        <v>750.0</v>
      </c>
      <c r="E19" s="265">
        <v>750.0</v>
      </c>
      <c r="F19" s="265">
        <v>750.0</v>
      </c>
      <c r="G19" s="265">
        <v>750.0</v>
      </c>
      <c r="H19" s="265">
        <v>750.0</v>
      </c>
      <c r="I19" s="265">
        <v>750.0</v>
      </c>
    </row>
    <row r="20" spans="8:8">
      <c r="A20" s="26" t="s">
        <v>491</v>
      </c>
      <c r="B20" s="148" t="s">
        <v>240</v>
      </c>
      <c r="C20" s="265">
        <f>C19*282.88</f>
        <v>107494.4</v>
      </c>
      <c r="D20" s="265">
        <f t="shared" si="1" ref="D20:H20">D19*282.88</f>
        <v>212160.0</v>
      </c>
      <c r="E20" s="265">
        <f t="shared" si="1"/>
        <v>212160.0</v>
      </c>
      <c r="F20" s="265">
        <f t="shared" si="1"/>
        <v>212160.0</v>
      </c>
      <c r="G20" s="265">
        <f t="shared" si="1"/>
        <v>212160.0</v>
      </c>
      <c r="H20" s="265">
        <f t="shared" si="1"/>
        <v>212160.0</v>
      </c>
      <c r="I20" s="265">
        <f>I19*282.88</f>
        <v>212160.0</v>
      </c>
    </row>
    <row r="21" spans="8:8">
      <c r="A21" s="328" t="s">
        <v>381</v>
      </c>
      <c r="B21" s="148" t="s">
        <v>240</v>
      </c>
      <c r="C21" s="265">
        <v>2000.0</v>
      </c>
      <c r="D21" s="265">
        <v>4000.0</v>
      </c>
      <c r="E21" s="265">
        <v>4000.0</v>
      </c>
      <c r="F21" s="265">
        <v>4000.0</v>
      </c>
      <c r="G21" s="265">
        <v>4000.0</v>
      </c>
      <c r="H21" s="265">
        <v>4000.0</v>
      </c>
      <c r="I21" s="265">
        <v>4000.0</v>
      </c>
    </row>
    <row r="22" spans="8:8">
      <c r="A22" s="328" t="s">
        <v>290</v>
      </c>
      <c r="B22" s="148" t="s">
        <v>240</v>
      </c>
      <c r="C22" s="265">
        <v>1000.0</v>
      </c>
      <c r="D22" s="265">
        <v>1000.0</v>
      </c>
      <c r="E22" s="265">
        <v>1000.0</v>
      </c>
      <c r="F22" s="265">
        <v>1000.0</v>
      </c>
      <c r="G22" s="265">
        <v>1000.0</v>
      </c>
      <c r="H22" s="265">
        <v>1000.0</v>
      </c>
      <c r="I22" s="265">
        <v>1000.0</v>
      </c>
    </row>
    <row r="23" spans="8:8">
      <c r="A23" s="324" t="s">
        <v>357</v>
      </c>
      <c r="B23" s="147" t="s">
        <v>240</v>
      </c>
      <c r="C23" s="263">
        <f>C17+C18+C20+C21+C22</f>
        <v>194994.4</v>
      </c>
      <c r="D23" s="263">
        <f t="shared" si="2" ref="D23:I23">D17+D18+D20+D21+D22</f>
        <v>225410.0</v>
      </c>
      <c r="E23" s="263">
        <f t="shared" si="2"/>
        <v>217160.0</v>
      </c>
      <c r="F23" s="263">
        <f t="shared" si="2"/>
        <v>217160.0</v>
      </c>
      <c r="G23" s="263">
        <f t="shared" si="2"/>
        <v>217160.0</v>
      </c>
      <c r="H23" s="263">
        <f t="shared" si="2"/>
        <v>217160.0</v>
      </c>
      <c r="I23" s="263">
        <f t="shared" si="2"/>
        <v>217160.0</v>
      </c>
    </row>
    <row r="24" spans="8:8">
      <c r="A24" s="330" t="s">
        <v>382</v>
      </c>
      <c r="B24" s="315" t="s">
        <v>240</v>
      </c>
      <c r="C24" s="276">
        <f>C23+C14</f>
        <v>461244.4</v>
      </c>
      <c r="D24" s="276">
        <f t="shared" si="3" ref="D24:I24">D23+D14</f>
        <v>367910.0</v>
      </c>
      <c r="E24" s="276">
        <f t="shared" si="3"/>
        <v>344660.0</v>
      </c>
      <c r="F24" s="276">
        <f t="shared" si="3"/>
        <v>344660.0</v>
      </c>
      <c r="G24" s="276">
        <f t="shared" si="3"/>
        <v>344660.0</v>
      </c>
      <c r="H24" s="276">
        <f t="shared" si="3"/>
        <v>344660.0</v>
      </c>
      <c r="I24" s="276">
        <f t="shared" si="3"/>
        <v>322160.0</v>
      </c>
    </row>
    <row r="25" spans="8:8">
      <c r="A25" s="328"/>
      <c r="B25" s="326"/>
      <c r="C25" s="265"/>
      <c r="D25" s="265"/>
      <c r="E25" s="265"/>
      <c r="F25" s="265"/>
      <c r="G25" s="265"/>
      <c r="H25" s="265"/>
      <c r="I25" s="265"/>
    </row>
    <row r="26" spans="8:8">
      <c r="A26" s="324" t="s">
        <v>18</v>
      </c>
      <c r="B26" s="326"/>
      <c r="C26" s="265"/>
      <c r="D26" s="265"/>
      <c r="E26" s="265"/>
      <c r="F26" s="265"/>
      <c r="G26" s="265"/>
      <c r="H26" s="265"/>
      <c r="I26" s="265"/>
    </row>
    <row r="27" spans="8:8">
      <c r="A27" s="151" t="s">
        <v>383</v>
      </c>
      <c r="B27" s="148" t="s">
        <v>384</v>
      </c>
      <c r="C27" s="265">
        <v>12000.0</v>
      </c>
      <c r="D27" s="265">
        <v>20000.0</v>
      </c>
      <c r="E27" s="265">
        <v>20000.0</v>
      </c>
      <c r="F27" s="265">
        <v>20000.0</v>
      </c>
      <c r="G27" s="265">
        <v>20000.0</v>
      </c>
      <c r="H27" s="265">
        <v>20000.0</v>
      </c>
      <c r="I27" s="265">
        <v>16000.0</v>
      </c>
    </row>
    <row r="28" spans="8:8">
      <c r="A28" s="328" t="s">
        <v>385</v>
      </c>
      <c r="B28" s="148" t="s">
        <v>384</v>
      </c>
      <c r="C28" s="265">
        <v>120.0</v>
      </c>
      <c r="D28" s="265">
        <v>200.0</v>
      </c>
      <c r="E28" s="265">
        <v>200.0</v>
      </c>
      <c r="F28" s="265">
        <v>200.0</v>
      </c>
      <c r="G28" s="265">
        <v>200.0</v>
      </c>
      <c r="H28" s="265">
        <v>200.0</v>
      </c>
      <c r="I28" s="265">
        <v>160.0</v>
      </c>
    </row>
    <row r="29" spans="8:8" ht="25.5">
      <c r="A29" s="329" t="s">
        <v>399</v>
      </c>
      <c r="B29" s="148" t="s">
        <v>384</v>
      </c>
      <c r="C29" s="265">
        <v>20.0</v>
      </c>
      <c r="D29" s="265">
        <v>33.0</v>
      </c>
      <c r="E29" s="265">
        <v>33.0</v>
      </c>
      <c r="F29" s="265">
        <v>33.0</v>
      </c>
      <c r="G29" s="265">
        <v>33.0</v>
      </c>
      <c r="H29" s="265">
        <v>33.0</v>
      </c>
      <c r="I29" s="265">
        <v>27.0</v>
      </c>
    </row>
    <row r="30" spans="8:8">
      <c r="A30" s="328" t="s">
        <v>386</v>
      </c>
      <c r="B30" s="148" t="s">
        <v>384</v>
      </c>
      <c r="C30" s="265">
        <f>C28-C29</f>
        <v>100.0</v>
      </c>
      <c r="D30" s="265">
        <f>D28-D29</f>
        <v>167.0</v>
      </c>
      <c r="E30" s="265">
        <f t="shared" si="4" ref="E30:I30">E28-E29</f>
        <v>167.0</v>
      </c>
      <c r="F30" s="265">
        <f t="shared" si="4"/>
        <v>167.0</v>
      </c>
      <c r="G30" s="265">
        <f t="shared" si="4"/>
        <v>167.0</v>
      </c>
      <c r="H30" s="265">
        <f t="shared" si="4"/>
        <v>167.0</v>
      </c>
      <c r="I30" s="265">
        <f t="shared" si="4"/>
        <v>133.0</v>
      </c>
    </row>
    <row r="31" spans="8:8" ht="25.5">
      <c r="A31" s="331" t="s">
        <v>505</v>
      </c>
      <c r="B31" s="316" t="s">
        <v>36</v>
      </c>
      <c r="C31" s="281">
        <f>C30*5005.65</f>
        <v>500564.99999999994</v>
      </c>
      <c r="D31" s="281">
        <f t="shared" si="5" ref="D31:H31">D30*5005.65</f>
        <v>835943.5499999999</v>
      </c>
      <c r="E31" s="281">
        <f t="shared" si="5"/>
        <v>835943.5499999999</v>
      </c>
      <c r="F31" s="281">
        <f t="shared" si="5"/>
        <v>835943.5499999999</v>
      </c>
      <c r="G31" s="281">
        <f t="shared" si="5"/>
        <v>835943.5499999999</v>
      </c>
      <c r="H31" s="281">
        <f t="shared" si="5"/>
        <v>835943.5499999999</v>
      </c>
      <c r="I31" s="281">
        <f>I30*5005.65</f>
        <v>665751.45</v>
      </c>
    </row>
    <row r="32" spans="8:8">
      <c r="A32" s="330" t="s">
        <v>387</v>
      </c>
      <c r="B32" s="315" t="s">
        <v>36</v>
      </c>
      <c r="C32" s="276">
        <f>C31-C24</f>
        <v>39320.59999999998</v>
      </c>
      <c r="D32" s="276">
        <f t="shared" si="6" ref="D32:H32">D31-D24</f>
        <v>468033.55000000005</v>
      </c>
      <c r="E32" s="276">
        <f t="shared" si="6"/>
        <v>491283.55000000005</v>
      </c>
      <c r="F32" s="276">
        <f t="shared" si="6"/>
        <v>491283.55000000005</v>
      </c>
      <c r="G32" s="276">
        <f t="shared" si="6"/>
        <v>491283.55000000005</v>
      </c>
      <c r="H32" s="276">
        <f t="shared" si="6"/>
        <v>491283.55000000005</v>
      </c>
      <c r="I32" s="276">
        <f>I31-I24</f>
        <v>343591.44999999995</v>
      </c>
    </row>
    <row r="33" spans="8:8">
      <c r="A33" s="332" t="s">
        <v>393</v>
      </c>
      <c r="B33" s="333" t="s">
        <v>49</v>
      </c>
      <c r="C33" s="171">
        <f>C24/C30</f>
        <v>4612.444</v>
      </c>
      <c r="D33" s="171">
        <f>D24/D30</f>
        <v>2203.053892215569</v>
      </c>
      <c r="E33" s="171">
        <f>E24/E30</f>
        <v>2063.8323353293413</v>
      </c>
      <c r="F33" s="171">
        <f>F24/F30</f>
        <v>2063.8323353293413</v>
      </c>
      <c r="G33" s="171">
        <f>G24/G30</f>
        <v>2063.8323353293413</v>
      </c>
      <c r="H33" s="171">
        <f t="shared" si="7" ref="H33:I33">H24/H30</f>
        <v>2063.8323353293413</v>
      </c>
      <c r="I33" s="171">
        <f t="shared" si="7"/>
        <v>2422.2556390977443</v>
      </c>
    </row>
    <row r="34" spans="8:8" ht="12.0" customHeight="1">
      <c r="C34" s="334"/>
      <c r="D34" s="334"/>
      <c r="E34" s="335"/>
      <c r="F34" s="335"/>
      <c r="G34" s="334"/>
      <c r="H34" s="334"/>
      <c r="I34" s="334"/>
    </row>
    <row r="35" spans="8:8" ht="12.0" customHeight="1">
      <c r="C35" s="334"/>
      <c r="D35" s="334"/>
      <c r="E35" s="335"/>
      <c r="F35" s="335">
        <f>F24/F27</f>
        <v>17.233</v>
      </c>
      <c r="G35" s="334"/>
      <c r="H35" s="334"/>
      <c r="I35" s="334"/>
    </row>
    <row r="36" spans="8:8" ht="12.0" customHeight="1">
      <c r="E36" s="89"/>
      <c r="F36" s="89"/>
    </row>
    <row r="37" spans="8:8" ht="12.0" customHeight="1"/>
    <row r="38" spans="8:8" ht="12.0" customHeight="1">
      <c r="A38" s="98" t="s">
        <v>388</v>
      </c>
      <c r="H38" s="336">
        <v>2063.83233532934</v>
      </c>
    </row>
    <row r="39" spans="8:8">
      <c r="A39" s="98" t="s">
        <v>389</v>
      </c>
      <c r="B39" s="161" t="s">
        <v>465</v>
      </c>
    </row>
    <row r="40" spans="8:8">
      <c r="A40" s="98"/>
      <c r="B40" s="161"/>
    </row>
    <row r="43" spans="8:8">
      <c r="A43" s="5" t="s">
        <v>97</v>
      </c>
    </row>
    <row r="44" spans="8:8">
      <c r="A44" s="98" t="s">
        <v>390</v>
      </c>
    </row>
    <row r="45" spans="8:8">
      <c r="A45" s="66" t="s">
        <v>407</v>
      </c>
      <c r="B45" s="61"/>
      <c r="C45" s="2"/>
      <c r="D45" s="2"/>
      <c r="E45" s="2"/>
      <c r="F45" s="2"/>
      <c r="G45" s="61"/>
      <c r="H45" s="2"/>
    </row>
    <row r="46" spans="8:8">
      <c r="A46" s="98" t="s">
        <v>440</v>
      </c>
    </row>
    <row r="47" spans="8:8" s="5" customFormat="1">
      <c r="A47" s="5" t="s">
        <v>220</v>
      </c>
      <c r="B47" s="4"/>
      <c r="C47" s="4"/>
      <c r="D47" s="4"/>
      <c r="E47" s="4"/>
      <c r="F47" s="4"/>
      <c r="G47" s="4"/>
      <c r="H47" s="4"/>
      <c r="I47" s="4"/>
      <c r="J47" s="146"/>
      <c r="K47" s="4"/>
      <c r="L47" s="4"/>
      <c r="M47" s="4"/>
      <c r="N47" s="4"/>
      <c r="O47" s="4"/>
      <c r="P47" s="4"/>
      <c r="R47" s="181"/>
      <c r="S47" s="181"/>
      <c r="T47" s="181"/>
      <c r="U47" s="181"/>
      <c r="V47" s="181"/>
    </row>
    <row r="55" spans="8:8">
      <c r="A55" s="98"/>
      <c r="B55" s="76"/>
    </row>
    <row r="56" spans="8:8">
      <c r="A56" s="98"/>
      <c r="B56" s="76"/>
    </row>
    <row r="57" spans="8:8">
      <c r="B57" s="76"/>
    </row>
    <row r="58" spans="8:8">
      <c r="A58" s="5"/>
    </row>
    <row r="59" spans="8:8">
      <c r="B59" s="76"/>
    </row>
    <row r="60" spans="8:8">
      <c r="A60" s="337"/>
      <c r="B60" s="76"/>
    </row>
    <row r="61" spans="8:8">
      <c r="A61" s="337"/>
      <c r="B61" s="76"/>
    </row>
    <row r="62" spans="8:8">
      <c r="B62" s="76"/>
    </row>
    <row r="63" spans="8:8">
      <c r="B63" s="76"/>
    </row>
    <row r="64" spans="8:8">
      <c r="B64" s="76"/>
    </row>
    <row r="65" spans="8:8">
      <c r="B65" s="76"/>
    </row>
    <row r="66" spans="8:8">
      <c r="B66" s="76"/>
    </row>
    <row r="67" spans="8:8">
      <c r="A67" s="98"/>
      <c r="B67" s="76"/>
    </row>
    <row r="69" spans="8:8">
      <c r="A69" s="5"/>
    </row>
    <row r="70" spans="8:8">
      <c r="B70" s="76"/>
    </row>
    <row r="71" spans="8:8">
      <c r="A71" s="338"/>
      <c r="B71" s="76"/>
    </row>
    <row r="72" spans="8:8">
      <c r="B72" s="76"/>
    </row>
    <row r="73" spans="8:8">
      <c r="A73" s="98"/>
      <c r="B73" s="76"/>
    </row>
    <row r="74" spans="8:8">
      <c r="A74" s="98"/>
      <c r="B74" s="76"/>
    </row>
    <row r="79" spans="8:8">
      <c r="A79" s="98"/>
    </row>
    <row r="86" spans="8:8">
      <c r="A86" s="36"/>
    </row>
    <row r="87" spans="8:8">
      <c r="A87" s="66"/>
    </row>
    <row r="88" spans="8:8">
      <c r="A88" s="66"/>
    </row>
    <row r="89" spans="8:8">
      <c r="A89" s="66"/>
    </row>
  </sheetData>
  <pageMargins left="0.7" right="0.7" top="0.75" bottom="0.75" header="0.3" footer="0.3"/>
  <pageSetup paperSize="9" fitToWidth="0" orientation="landscape"/>
</worksheet>
</file>

<file path=xl/worksheets/sheet12.xml><?xml version="1.0" encoding="utf-8"?>
<worksheet xmlns:r="http://schemas.openxmlformats.org/officeDocument/2006/relationships" xmlns="http://schemas.openxmlformats.org/spreadsheetml/2006/main">
  <dimension ref="A1:P73"/>
  <sheetViews>
    <sheetView workbookViewId="0">
      <selection activeCell="H8" sqref="H8"/>
    </sheetView>
  </sheetViews>
  <sheetFormatPr defaultRowHeight="12.75" defaultColWidth="10"/>
  <cols>
    <col min="1" max="1" customWidth="1" width="44.42578" style="0"/>
    <col min="2" max="2" customWidth="0" width="9.285156" style="34"/>
    <col min="3" max="3" customWidth="1" bestFit="1" width="13.140625" style="34"/>
    <col min="4" max="4" customWidth="0" width="9.285156" style="34"/>
    <col min="5" max="5" customWidth="1" bestFit="1" width="13.0" style="34"/>
    <col min="6" max="6" customWidth="0" width="8.855469" style="89"/>
  </cols>
  <sheetData>
    <row r="1" spans="8:8">
      <c r="A1" s="282" t="s">
        <v>528</v>
      </c>
    </row>
    <row r="3" spans="8:8">
      <c r="A3" s="277" t="s">
        <v>1</v>
      </c>
      <c r="B3" s="325" t="s">
        <v>15</v>
      </c>
      <c r="C3" s="325" t="s">
        <v>100</v>
      </c>
      <c r="D3" s="325" t="s">
        <v>15</v>
      </c>
      <c r="E3" s="325" t="s">
        <v>101</v>
      </c>
    </row>
    <row r="4" spans="8:8" ht="38.25">
      <c r="A4" s="339" t="s">
        <v>126</v>
      </c>
      <c r="B4" s="340" t="s">
        <v>31</v>
      </c>
      <c r="C4" s="100">
        <v>30.0</v>
      </c>
      <c r="D4" s="341" t="s">
        <v>30</v>
      </c>
      <c r="E4" s="100">
        <f>C4*2.5</f>
        <v>75.0</v>
      </c>
    </row>
    <row r="5" spans="8:8" ht="38.25" customHeight="1">
      <c r="A5" s="258" t="s">
        <v>45</v>
      </c>
      <c r="B5" s="340" t="s">
        <v>31</v>
      </c>
      <c r="C5" s="100">
        <v>20.0</v>
      </c>
      <c r="D5" s="341" t="s">
        <v>30</v>
      </c>
      <c r="E5" s="100">
        <f t="shared" si="0" ref="E5:E14">C5*2.5</f>
        <v>50.0</v>
      </c>
    </row>
    <row r="6" spans="8:8" ht="15.0" customHeight="1">
      <c r="A6" s="342" t="s">
        <v>91</v>
      </c>
      <c r="B6" s="340" t="s">
        <v>31</v>
      </c>
      <c r="C6" s="100">
        <v>9.0</v>
      </c>
      <c r="D6" s="341" t="s">
        <v>30</v>
      </c>
      <c r="E6" s="100">
        <f t="shared" si="0"/>
        <v>22.5</v>
      </c>
    </row>
    <row r="7" spans="8:8">
      <c r="A7" s="260" t="s">
        <v>50</v>
      </c>
      <c r="B7" s="340" t="s">
        <v>31</v>
      </c>
      <c r="C7" s="100">
        <v>10.0</v>
      </c>
      <c r="D7" s="341" t="s">
        <v>30</v>
      </c>
      <c r="E7" s="100">
        <f t="shared" si="0"/>
        <v>25.0</v>
      </c>
    </row>
    <row r="8" spans="8:8">
      <c r="A8" s="260" t="s">
        <v>56</v>
      </c>
      <c r="B8" s="340" t="s">
        <v>31</v>
      </c>
      <c r="C8" s="100">
        <v>6.0</v>
      </c>
      <c r="D8" s="341" t="s">
        <v>30</v>
      </c>
      <c r="E8" s="100">
        <f t="shared" si="0"/>
        <v>15.0</v>
      </c>
    </row>
    <row r="9" spans="8:8">
      <c r="A9" s="260" t="s">
        <v>92</v>
      </c>
      <c r="B9" s="340" t="s">
        <v>31</v>
      </c>
      <c r="C9" s="100">
        <v>30.0</v>
      </c>
      <c r="D9" s="341" t="s">
        <v>30</v>
      </c>
      <c r="E9" s="100">
        <f t="shared" si="0"/>
        <v>75.0</v>
      </c>
    </row>
    <row r="10" spans="8:8">
      <c r="A10" s="258" t="s">
        <v>46</v>
      </c>
      <c r="B10" s="340" t="s">
        <v>31</v>
      </c>
      <c r="C10" s="100">
        <v>2.0</v>
      </c>
      <c r="D10" s="341" t="s">
        <v>30</v>
      </c>
      <c r="E10" s="100">
        <f t="shared" si="0"/>
        <v>5.0</v>
      </c>
    </row>
    <row r="11" spans="8:8">
      <c r="A11" s="260" t="s">
        <v>4</v>
      </c>
      <c r="B11" s="340" t="s">
        <v>31</v>
      </c>
      <c r="C11" s="100">
        <v>45.0</v>
      </c>
      <c r="D11" s="341" t="s">
        <v>30</v>
      </c>
      <c r="E11" s="100">
        <f t="shared" si="0"/>
        <v>112.5</v>
      </c>
    </row>
    <row r="12" spans="8:8">
      <c r="A12" s="271" t="s">
        <v>5</v>
      </c>
      <c r="B12" s="343" t="s">
        <v>31</v>
      </c>
      <c r="C12" s="344">
        <v>10.0</v>
      </c>
      <c r="D12" s="344" t="s">
        <v>30</v>
      </c>
      <c r="E12" s="344">
        <f t="shared" si="0"/>
        <v>25.0</v>
      </c>
    </row>
    <row r="13" spans="8:8">
      <c r="A13" s="271" t="s">
        <v>6</v>
      </c>
      <c r="B13" s="343" t="s">
        <v>31</v>
      </c>
      <c r="C13" s="344">
        <f>SUM(C4:C12)</f>
        <v>162.0</v>
      </c>
      <c r="D13" s="344" t="s">
        <v>30</v>
      </c>
      <c r="E13" s="344">
        <f t="shared" si="0"/>
        <v>405.0</v>
      </c>
    </row>
    <row r="14" spans="8:8">
      <c r="A14" s="345" t="s">
        <v>400</v>
      </c>
      <c r="B14" s="346" t="s">
        <v>38</v>
      </c>
      <c r="C14" s="346">
        <f>C13*1500</f>
        <v>243000.0</v>
      </c>
      <c r="D14" s="346" t="s">
        <v>36</v>
      </c>
      <c r="E14" s="346">
        <f t="shared" si="0"/>
        <v>607500.0</v>
      </c>
    </row>
    <row r="15" spans="8:8" ht="16.5" customHeight="1">
      <c r="A15" s="271"/>
      <c r="B15" s="347"/>
      <c r="C15" s="347"/>
      <c r="D15" s="347"/>
      <c r="E15" s="347"/>
    </row>
    <row r="16" spans="8:8">
      <c r="A16" s="345" t="s">
        <v>104</v>
      </c>
      <c r="B16" s="347"/>
      <c r="C16" s="347"/>
      <c r="D16" s="347"/>
      <c r="E16" s="347"/>
    </row>
    <row r="17" spans="8:8">
      <c r="A17" s="271" t="s">
        <v>44</v>
      </c>
      <c r="B17" s="347" t="s">
        <v>38</v>
      </c>
      <c r="C17" s="347">
        <v>2500.0</v>
      </c>
      <c r="D17" s="347" t="s">
        <v>36</v>
      </c>
      <c r="E17" s="347">
        <f>C17*2.5</f>
        <v>6250.0</v>
      </c>
    </row>
    <row r="18" spans="8:8">
      <c r="A18" s="271" t="s">
        <v>55</v>
      </c>
      <c r="B18" s="347" t="s">
        <v>38</v>
      </c>
      <c r="C18" s="347">
        <v>12000.0</v>
      </c>
      <c r="D18" s="347" t="s">
        <v>36</v>
      </c>
      <c r="E18" s="347">
        <f t="shared" si="1" ref="E18:E28">C18*2.5</f>
        <v>30000.0</v>
      </c>
    </row>
    <row r="19" spans="8:8">
      <c r="A19" s="272" t="s">
        <v>471</v>
      </c>
      <c r="B19" s="347" t="s">
        <v>38</v>
      </c>
      <c r="C19" s="347">
        <f>500*100</f>
        <v>50000.0</v>
      </c>
      <c r="D19" s="347" t="s">
        <v>36</v>
      </c>
      <c r="E19" s="347">
        <f>C19*2.5</f>
        <v>125000.0</v>
      </c>
    </row>
    <row r="20" spans="8:8">
      <c r="A20" s="348" t="s">
        <v>141</v>
      </c>
      <c r="B20" s="347" t="s">
        <v>38</v>
      </c>
      <c r="C20" s="347">
        <v>3600.0</v>
      </c>
      <c r="D20" s="347" t="s">
        <v>36</v>
      </c>
      <c r="E20" s="347">
        <f t="shared" si="1"/>
        <v>9000.0</v>
      </c>
    </row>
    <row r="21" spans="8:8" ht="15.0" customHeight="1">
      <c r="A21" s="271" t="s">
        <v>47</v>
      </c>
      <c r="B21" s="347" t="s">
        <v>38</v>
      </c>
      <c r="C21" s="347">
        <v>30000.0</v>
      </c>
      <c r="D21" s="347" t="s">
        <v>36</v>
      </c>
      <c r="E21" s="347">
        <f t="shared" si="1"/>
        <v>75000.0</v>
      </c>
    </row>
    <row r="22" spans="8:8">
      <c r="A22" s="271" t="s">
        <v>481</v>
      </c>
      <c r="B22" s="347" t="s">
        <v>38</v>
      </c>
      <c r="C22" s="347">
        <f>1200*4</f>
        <v>4800.0</v>
      </c>
      <c r="D22" s="347" t="s">
        <v>36</v>
      </c>
      <c r="E22" s="347">
        <f>C22*2.5</f>
        <v>12000.0</v>
      </c>
      <c r="F22" s="349"/>
      <c r="G22" s="350"/>
    </row>
    <row r="23" spans="8:8">
      <c r="A23" s="271" t="s">
        <v>479</v>
      </c>
      <c r="B23" s="347" t="s">
        <v>38</v>
      </c>
      <c r="C23" s="347">
        <f>4*16000</f>
        <v>64000.0</v>
      </c>
      <c r="D23" s="347" t="s">
        <v>36</v>
      </c>
      <c r="E23" s="347">
        <f>C23*2.5</f>
        <v>160000.0</v>
      </c>
    </row>
    <row r="24" spans="8:8" ht="15.0" customHeight="1">
      <c r="A24" s="272" t="s">
        <v>94</v>
      </c>
      <c r="B24" s="347" t="s">
        <v>38</v>
      </c>
      <c r="C24" s="347">
        <v>44232.0</v>
      </c>
      <c r="D24" s="347" t="s">
        <v>36</v>
      </c>
      <c r="E24" s="347">
        <f>C24*2.5</f>
        <v>110580.0</v>
      </c>
    </row>
    <row r="25" spans="8:8" ht="15.0" customHeight="1">
      <c r="A25" s="272" t="s">
        <v>48</v>
      </c>
      <c r="B25" s="347" t="s">
        <v>38</v>
      </c>
      <c r="C25" s="347">
        <v>4000.0</v>
      </c>
      <c r="D25" s="347" t="s">
        <v>36</v>
      </c>
      <c r="E25" s="347">
        <f t="shared" si="1"/>
        <v>10000.0</v>
      </c>
    </row>
    <row r="26" spans="8:8" ht="14.25" customHeight="1">
      <c r="A26" s="272" t="s">
        <v>57</v>
      </c>
      <c r="B26" s="347" t="s">
        <v>38</v>
      </c>
      <c r="C26" s="347">
        <v>7500.0</v>
      </c>
      <c r="D26" s="347" t="s">
        <v>36</v>
      </c>
      <c r="E26" s="347">
        <f t="shared" si="1"/>
        <v>18750.0</v>
      </c>
    </row>
    <row r="27" spans="8:8" ht="14.25" customHeight="1">
      <c r="A27" s="345" t="s">
        <v>32</v>
      </c>
      <c r="B27" s="346" t="s">
        <v>38</v>
      </c>
      <c r="C27" s="346">
        <f>SUM(C17:C26)</f>
        <v>222632.0</v>
      </c>
      <c r="D27" s="346" t="s">
        <v>36</v>
      </c>
      <c r="E27" s="346">
        <f t="shared" si="1"/>
        <v>556580.0</v>
      </c>
    </row>
    <row r="28" spans="8:8">
      <c r="A28" s="274" t="s">
        <v>13</v>
      </c>
      <c r="B28" s="276" t="s">
        <v>38</v>
      </c>
      <c r="C28" s="276">
        <f>C27+C14</f>
        <v>465632.0</v>
      </c>
      <c r="D28" s="276" t="s">
        <v>36</v>
      </c>
      <c r="E28" s="276">
        <f t="shared" si="1"/>
        <v>1164080.0</v>
      </c>
    </row>
    <row r="29" spans="8:8">
      <c r="A29" s="271"/>
      <c r="B29" s="347"/>
      <c r="C29" s="347"/>
      <c r="D29" s="347"/>
      <c r="E29" s="347"/>
    </row>
    <row r="30" spans="8:8">
      <c r="A30" s="271" t="s">
        <v>18</v>
      </c>
      <c r="B30" s="347"/>
      <c r="C30" s="347"/>
      <c r="D30" s="347"/>
      <c r="E30" s="347"/>
      <c r="G30" s="351"/>
    </row>
    <row r="31" spans="8:8">
      <c r="A31" s="271" t="s">
        <v>139</v>
      </c>
      <c r="B31" s="347" t="s">
        <v>51</v>
      </c>
      <c r="C31" s="347">
        <v>7500.0</v>
      </c>
      <c r="D31" s="347" t="s">
        <v>37</v>
      </c>
      <c r="E31" s="347">
        <f>C31*2.5</f>
        <v>18750.0</v>
      </c>
    </row>
    <row r="32" spans="8:8" ht="16.5" customHeight="1">
      <c r="A32" s="352" t="s">
        <v>506</v>
      </c>
      <c r="B32" s="353" t="s">
        <v>38</v>
      </c>
      <c r="C32" s="353">
        <f>C31*166.32</f>
        <v>1247400.0</v>
      </c>
      <c r="D32" s="353" t="s">
        <v>36</v>
      </c>
      <c r="E32" s="353">
        <f>C32*2.5</f>
        <v>3118500.0</v>
      </c>
    </row>
    <row r="33" spans="8:8">
      <c r="A33" s="274" t="s">
        <v>9</v>
      </c>
      <c r="B33" s="276" t="s">
        <v>38</v>
      </c>
      <c r="C33" s="276">
        <f>C32-C28</f>
        <v>781768.0</v>
      </c>
      <c r="D33" s="276" t="s">
        <v>36</v>
      </c>
      <c r="E33" s="276">
        <f t="shared" si="2" ref="E33">C33*2.5</f>
        <v>1954420.0</v>
      </c>
    </row>
    <row r="34" spans="8:8">
      <c r="A34" s="284" t="s">
        <v>10</v>
      </c>
      <c r="B34" s="171" t="s">
        <v>49</v>
      </c>
      <c r="C34" s="171">
        <f>C28/C31</f>
        <v>62.084266666666664</v>
      </c>
      <c r="D34" s="171" t="s">
        <v>49</v>
      </c>
      <c r="E34" s="171">
        <f>E28/E31</f>
        <v>62.084266666666664</v>
      </c>
    </row>
    <row r="35" spans="8:8">
      <c r="A35" s="354"/>
      <c r="B35" s="355"/>
      <c r="C35" s="355"/>
      <c r="D35" s="355"/>
      <c r="E35" s="355"/>
    </row>
    <row r="36" spans="8:8">
      <c r="A36" s="354"/>
      <c r="B36" s="355"/>
      <c r="C36" s="355"/>
      <c r="D36" s="355"/>
      <c r="E36" s="355"/>
    </row>
    <row r="39" spans="8:8">
      <c r="A39" t="s">
        <v>128</v>
      </c>
    </row>
    <row r="40" spans="8:8">
      <c r="A40" t="s">
        <v>127</v>
      </c>
    </row>
    <row r="41" spans="8:8">
      <c r="A41" s="266" t="s">
        <v>453</v>
      </c>
    </row>
    <row r="42" spans="8:8">
      <c r="A42" s="266"/>
    </row>
    <row r="43" spans="8:8">
      <c r="A43" s="282" t="s">
        <v>97</v>
      </c>
    </row>
    <row r="44" spans="8:8">
      <c r="A44" s="356" t="s">
        <v>129</v>
      </c>
    </row>
    <row r="45" spans="8:8">
      <c r="A45" s="66" t="s">
        <v>407</v>
      </c>
      <c r="B45" s="61"/>
      <c r="C45" s="2"/>
      <c r="D45" s="2"/>
      <c r="E45" s="2"/>
      <c r="F45" s="2"/>
      <c r="G45" s="61"/>
      <c r="H45" s="2"/>
    </row>
    <row r="46" spans="8:8">
      <c r="A46" s="266" t="s">
        <v>444</v>
      </c>
    </row>
    <row r="47" spans="8:8">
      <c r="A47" s="266" t="s">
        <v>445</v>
      </c>
    </row>
    <row r="48" spans="8:8">
      <c r="A48" s="356" t="s">
        <v>125</v>
      </c>
    </row>
    <row r="49" spans="8:8">
      <c r="A49" s="266" t="s">
        <v>446</v>
      </c>
    </row>
    <row r="50" spans="8:8">
      <c r="A50" s="143" t="s">
        <v>447</v>
      </c>
    </row>
    <row r="51" spans="8:8">
      <c r="A51" s="143" t="s">
        <v>147</v>
      </c>
    </row>
    <row r="52" spans="8:8">
      <c r="A52" s="5" t="s">
        <v>170</v>
      </c>
      <c r="B52" s="4"/>
      <c r="C52" s="4"/>
      <c r="D52" s="4"/>
      <c r="E52" s="4"/>
      <c r="F52" s="146"/>
      <c r="G52" s="4"/>
      <c r="H52" s="4"/>
    </row>
    <row r="53" spans="8:8">
      <c r="A53" s="282"/>
    </row>
    <row r="56" spans="8:8">
      <c r="A56" s="356"/>
    </row>
    <row r="58" spans="8:8">
      <c r="A58" s="282"/>
    </row>
    <row r="71" spans="8:8" ht="11.25" customHeight="1"/>
    <row r="72" spans="8:8" ht="11.25" customHeight="1"/>
    <row r="73" spans="8:8" s="5" customFormat="1">
      <c r="A73"/>
      <c r="B73" s="34"/>
      <c r="C73" s="34"/>
      <c r="D73" s="34"/>
      <c r="E73" s="34"/>
      <c r="F73" s="89"/>
      <c r="G73"/>
      <c r="H73"/>
      <c r="I73" s="4"/>
      <c r="K73" s="357"/>
      <c r="L73" s="357"/>
      <c r="M73" s="357"/>
      <c r="N73" s="357"/>
      <c r="O73" s="357"/>
    </row>
  </sheetData>
  <pageMargins left="0.75" right="0.75" top="1.0" bottom="1.0" header="0.5" footer="0.5"/>
  <pageSetup paperSize="9" scale="91"/>
  <headerFooter alignWithMargins="0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59"/>
  <sheetViews>
    <sheetView workbookViewId="0">
      <selection activeCell="A1" sqref="A1"/>
    </sheetView>
  </sheetViews>
  <sheetFormatPr defaultRowHeight="12.75" defaultColWidth="10"/>
  <cols>
    <col min="1" max="1" customWidth="1" width="44.42578" style="0"/>
    <col min="2" max="2" customWidth="0" width="9.285156" style="34"/>
    <col min="3" max="3" customWidth="1" bestFit="1" width="13.140625" style="34"/>
    <col min="4" max="4" customWidth="0" width="9.285156" style="34"/>
    <col min="5" max="5" customWidth="1" bestFit="1" width="13.0" style="34"/>
    <col min="6" max="6" customWidth="0" width="8.855469" style="89"/>
  </cols>
  <sheetData>
    <row r="1" spans="8:8">
      <c r="A1" s="282" t="s">
        <v>529</v>
      </c>
    </row>
    <row r="3" spans="8:8">
      <c r="A3" s="277" t="s">
        <v>1</v>
      </c>
      <c r="B3" s="325" t="s">
        <v>15</v>
      </c>
      <c r="C3" s="325" t="s">
        <v>100</v>
      </c>
      <c r="D3" s="325" t="s">
        <v>15</v>
      </c>
      <c r="E3" s="325" t="s">
        <v>101</v>
      </c>
    </row>
    <row r="4" spans="8:8" ht="38.25">
      <c r="A4" s="339" t="s">
        <v>126</v>
      </c>
      <c r="B4" s="340" t="s">
        <v>31</v>
      </c>
      <c r="C4" s="100">
        <v>30.0</v>
      </c>
      <c r="D4" s="341" t="s">
        <v>30</v>
      </c>
      <c r="E4" s="100">
        <f>C4*2.5</f>
        <v>75.0</v>
      </c>
    </row>
    <row r="5" spans="8:8" ht="38.25" customHeight="1">
      <c r="A5" s="258" t="s">
        <v>45</v>
      </c>
      <c r="B5" s="340" t="s">
        <v>31</v>
      </c>
      <c r="C5" s="100">
        <v>20.0</v>
      </c>
      <c r="D5" s="341" t="s">
        <v>30</v>
      </c>
      <c r="E5" s="100">
        <f t="shared" si="0" ref="E5:E14">C5*2.5</f>
        <v>50.0</v>
      </c>
    </row>
    <row r="6" spans="8:8" ht="15.0" customHeight="1">
      <c r="A6" s="342" t="s">
        <v>91</v>
      </c>
      <c r="B6" s="340" t="s">
        <v>31</v>
      </c>
      <c r="C6" s="100">
        <v>9.0</v>
      </c>
      <c r="D6" s="341" t="s">
        <v>30</v>
      </c>
      <c r="E6" s="100">
        <f t="shared" si="0"/>
        <v>22.5</v>
      </c>
    </row>
    <row r="7" spans="8:8">
      <c r="A7" s="260" t="s">
        <v>50</v>
      </c>
      <c r="B7" s="340" t="s">
        <v>31</v>
      </c>
      <c r="C7" s="100">
        <v>10.0</v>
      </c>
      <c r="D7" s="341" t="s">
        <v>30</v>
      </c>
      <c r="E7" s="100">
        <f t="shared" si="0"/>
        <v>25.0</v>
      </c>
    </row>
    <row r="8" spans="8:8">
      <c r="A8" s="260" t="s">
        <v>56</v>
      </c>
      <c r="B8" s="340" t="s">
        <v>31</v>
      </c>
      <c r="C8" s="100">
        <v>6.0</v>
      </c>
      <c r="D8" s="341" t="s">
        <v>30</v>
      </c>
      <c r="E8" s="100">
        <f t="shared" si="0"/>
        <v>15.0</v>
      </c>
    </row>
    <row r="9" spans="8:8">
      <c r="A9" s="260" t="s">
        <v>92</v>
      </c>
      <c r="B9" s="340" t="s">
        <v>31</v>
      </c>
      <c r="C9" s="100">
        <v>30.0</v>
      </c>
      <c r="D9" s="341" t="s">
        <v>30</v>
      </c>
      <c r="E9" s="100">
        <f t="shared" si="0"/>
        <v>75.0</v>
      </c>
    </row>
    <row r="10" spans="8:8">
      <c r="A10" s="258" t="s">
        <v>46</v>
      </c>
      <c r="B10" s="340" t="s">
        <v>31</v>
      </c>
      <c r="C10" s="100">
        <v>2.0</v>
      </c>
      <c r="D10" s="341" t="s">
        <v>30</v>
      </c>
      <c r="E10" s="100">
        <f t="shared" si="0"/>
        <v>5.0</v>
      </c>
    </row>
    <row r="11" spans="8:8">
      <c r="A11" s="260" t="s">
        <v>4</v>
      </c>
      <c r="B11" s="340" t="s">
        <v>31</v>
      </c>
      <c r="C11" s="100">
        <v>45.0</v>
      </c>
      <c r="D11" s="341" t="s">
        <v>30</v>
      </c>
      <c r="E11" s="100">
        <f t="shared" si="0"/>
        <v>112.5</v>
      </c>
    </row>
    <row r="12" spans="8:8">
      <c r="A12" s="271" t="s">
        <v>5</v>
      </c>
      <c r="B12" s="343" t="s">
        <v>31</v>
      </c>
      <c r="C12" s="344">
        <v>10.0</v>
      </c>
      <c r="D12" s="344" t="s">
        <v>30</v>
      </c>
      <c r="E12" s="100">
        <f t="shared" si="0"/>
        <v>25.0</v>
      </c>
    </row>
    <row r="13" spans="8:8">
      <c r="A13" s="271" t="s">
        <v>6</v>
      </c>
      <c r="B13" s="343" t="s">
        <v>31</v>
      </c>
      <c r="C13" s="344">
        <f>SUM(C4:C12)</f>
        <v>162.0</v>
      </c>
      <c r="D13" s="344" t="s">
        <v>30</v>
      </c>
      <c r="E13" s="100">
        <f t="shared" si="0"/>
        <v>405.0</v>
      </c>
    </row>
    <row r="14" spans="8:8">
      <c r="A14" s="345" t="s">
        <v>400</v>
      </c>
      <c r="B14" s="358" t="s">
        <v>38</v>
      </c>
      <c r="C14" s="346">
        <f>C13*1500</f>
        <v>243000.0</v>
      </c>
      <c r="D14" s="346" t="s">
        <v>36</v>
      </c>
      <c r="E14" s="263">
        <f t="shared" si="0"/>
        <v>607500.0</v>
      </c>
    </row>
    <row r="15" spans="8:8" ht="16.5" customHeight="1">
      <c r="A15" s="271"/>
      <c r="B15" s="343"/>
      <c r="C15" s="347"/>
      <c r="D15" s="347"/>
      <c r="E15" s="265"/>
    </row>
    <row r="16" spans="8:8">
      <c r="A16" s="345" t="s">
        <v>104</v>
      </c>
      <c r="B16" s="343"/>
      <c r="C16" s="347"/>
      <c r="D16" s="347"/>
      <c r="E16" s="265"/>
    </row>
    <row r="17" spans="8:8">
      <c r="A17" s="271" t="s">
        <v>44</v>
      </c>
      <c r="B17" s="343" t="s">
        <v>38</v>
      </c>
      <c r="C17" s="347">
        <v>2500.0</v>
      </c>
      <c r="D17" s="347" t="s">
        <v>36</v>
      </c>
      <c r="E17" s="265">
        <f>C17*2.5</f>
        <v>6250.0</v>
      </c>
    </row>
    <row r="18" spans="8:8">
      <c r="A18" s="271" t="s">
        <v>55</v>
      </c>
      <c r="B18" s="343" t="s">
        <v>38</v>
      </c>
      <c r="C18" s="347">
        <v>12000.0</v>
      </c>
      <c r="D18" s="347" t="s">
        <v>36</v>
      </c>
      <c r="E18" s="265">
        <f t="shared" si="1" ref="E18:E28">C18*2.5</f>
        <v>30000.0</v>
      </c>
    </row>
    <row r="19" spans="8:8">
      <c r="A19" s="272" t="s">
        <v>471</v>
      </c>
      <c r="B19" s="343" t="s">
        <v>38</v>
      </c>
      <c r="C19" s="347">
        <f>500*100</f>
        <v>50000.0</v>
      </c>
      <c r="D19" s="347" t="s">
        <v>36</v>
      </c>
      <c r="E19" s="265">
        <f t="shared" si="1"/>
        <v>125000.0</v>
      </c>
    </row>
    <row r="20" spans="8:8">
      <c r="A20" s="348" t="s">
        <v>141</v>
      </c>
      <c r="B20" s="343" t="s">
        <v>38</v>
      </c>
      <c r="C20" s="347">
        <v>3600.0</v>
      </c>
      <c r="D20" s="347" t="s">
        <v>36</v>
      </c>
      <c r="E20" s="265">
        <f t="shared" si="1"/>
        <v>9000.0</v>
      </c>
    </row>
    <row r="21" spans="8:8" ht="15.0" customHeight="1">
      <c r="A21" s="271" t="s">
        <v>47</v>
      </c>
      <c r="B21" s="343" t="s">
        <v>38</v>
      </c>
      <c r="C21" s="347">
        <v>30000.0</v>
      </c>
      <c r="D21" s="347" t="s">
        <v>36</v>
      </c>
      <c r="E21" s="265">
        <f t="shared" si="1"/>
        <v>75000.0</v>
      </c>
    </row>
    <row r="22" spans="8:8">
      <c r="A22" s="271" t="s">
        <v>481</v>
      </c>
      <c r="B22" s="343" t="s">
        <v>38</v>
      </c>
      <c r="C22" s="347">
        <f>1200*4</f>
        <v>4800.0</v>
      </c>
      <c r="D22" s="347" t="s">
        <v>36</v>
      </c>
      <c r="E22" s="265">
        <f t="shared" si="1"/>
        <v>12000.0</v>
      </c>
      <c r="F22" s="359"/>
    </row>
    <row r="23" spans="8:8">
      <c r="A23" s="271" t="s">
        <v>479</v>
      </c>
      <c r="B23" s="343" t="s">
        <v>38</v>
      </c>
      <c r="C23" s="347">
        <f>4*16000</f>
        <v>64000.0</v>
      </c>
      <c r="D23" s="347" t="s">
        <v>36</v>
      </c>
      <c r="E23" s="265">
        <f t="shared" si="1"/>
        <v>160000.0</v>
      </c>
    </row>
    <row r="24" spans="8:8" ht="15.0" customHeight="1">
      <c r="A24" s="272" t="s">
        <v>94</v>
      </c>
      <c r="B24" s="343" t="s">
        <v>38</v>
      </c>
      <c r="C24" s="347">
        <v>44232.0</v>
      </c>
      <c r="D24" s="347" t="s">
        <v>36</v>
      </c>
      <c r="E24" s="265">
        <f>C24*2.5</f>
        <v>110580.0</v>
      </c>
    </row>
    <row r="25" spans="8:8" ht="15.0" customHeight="1">
      <c r="A25" s="360" t="s">
        <v>48</v>
      </c>
      <c r="B25" s="343" t="s">
        <v>38</v>
      </c>
      <c r="C25" s="347">
        <v>4000.0</v>
      </c>
      <c r="D25" s="347" t="s">
        <v>36</v>
      </c>
      <c r="E25" s="265">
        <f t="shared" si="1"/>
        <v>10000.0</v>
      </c>
    </row>
    <row r="26" spans="8:8" ht="14.25" customHeight="1">
      <c r="A26" s="272" t="s">
        <v>57</v>
      </c>
      <c r="B26" s="343" t="s">
        <v>38</v>
      </c>
      <c r="C26" s="347">
        <v>7500.0</v>
      </c>
      <c r="D26" s="347" t="s">
        <v>36</v>
      </c>
      <c r="E26" s="265">
        <f t="shared" si="1"/>
        <v>18750.0</v>
      </c>
    </row>
    <row r="27" spans="8:8" ht="14.25" customHeight="1">
      <c r="A27" s="271" t="s">
        <v>32</v>
      </c>
      <c r="B27" s="343" t="s">
        <v>38</v>
      </c>
      <c r="C27" s="347">
        <f>SUM(C17:C26)</f>
        <v>222632.0</v>
      </c>
      <c r="D27" s="347" t="s">
        <v>36</v>
      </c>
      <c r="E27" s="361">
        <f t="shared" si="1"/>
        <v>556580.0</v>
      </c>
    </row>
    <row r="28" spans="8:8">
      <c r="A28" s="274" t="s">
        <v>13</v>
      </c>
      <c r="B28" s="362" t="s">
        <v>38</v>
      </c>
      <c r="C28" s="276">
        <f>C27+C14</f>
        <v>465632.0</v>
      </c>
      <c r="D28" s="276" t="s">
        <v>36</v>
      </c>
      <c r="E28" s="276">
        <f t="shared" si="1"/>
        <v>1164080.0</v>
      </c>
    </row>
    <row r="29" spans="8:8">
      <c r="A29" s="345"/>
      <c r="B29" s="343"/>
      <c r="C29" s="347"/>
      <c r="D29" s="347"/>
      <c r="E29" s="265"/>
    </row>
    <row r="30" spans="8:8">
      <c r="A30" s="345" t="s">
        <v>18</v>
      </c>
      <c r="B30" s="343"/>
      <c r="C30" s="347"/>
      <c r="D30" s="347"/>
      <c r="E30" s="265"/>
    </row>
    <row r="31" spans="8:8">
      <c r="A31" s="271" t="s">
        <v>107</v>
      </c>
      <c r="B31" s="343" t="s">
        <v>51</v>
      </c>
      <c r="C31" s="347">
        <v>6000.0</v>
      </c>
      <c r="D31" s="347" t="s">
        <v>37</v>
      </c>
      <c r="E31" s="265">
        <f>C31*2.5</f>
        <v>15000.0</v>
      </c>
    </row>
    <row r="32" spans="8:8" ht="26.25" customHeight="1">
      <c r="A32" s="363" t="s">
        <v>508</v>
      </c>
      <c r="B32" s="364" t="s">
        <v>38</v>
      </c>
      <c r="C32" s="353">
        <f>C31*166.32</f>
        <v>997920.0</v>
      </c>
      <c r="D32" s="353" t="s">
        <v>36</v>
      </c>
      <c r="E32" s="281">
        <f t="shared" si="2" ref="E32:E33">C32*2.5</f>
        <v>2494800.0</v>
      </c>
    </row>
    <row r="33" spans="8:8">
      <c r="A33" s="274" t="s">
        <v>9</v>
      </c>
      <c r="B33" s="362" t="s">
        <v>38</v>
      </c>
      <c r="C33" s="276">
        <f>C32-C28</f>
        <v>532288.0</v>
      </c>
      <c r="D33" s="276" t="s">
        <v>36</v>
      </c>
      <c r="E33" s="276">
        <f t="shared" si="2"/>
        <v>1330720.0</v>
      </c>
    </row>
    <row r="34" spans="8:8">
      <c r="A34" s="284" t="s">
        <v>10</v>
      </c>
      <c r="B34" s="365" t="s">
        <v>49</v>
      </c>
      <c r="C34" s="171">
        <f>C28/C31</f>
        <v>77.60533333333333</v>
      </c>
      <c r="D34" s="171" t="s">
        <v>49</v>
      </c>
      <c r="E34" s="171">
        <f>E28/E31</f>
        <v>77.60533333333333</v>
      </c>
      <c r="F34" s="89">
        <v>2021.0</v>
      </c>
    </row>
    <row r="35" spans="8:8">
      <c r="A35" s="366"/>
      <c r="B35" s="367"/>
      <c r="C35" s="368"/>
      <c r="D35" s="368"/>
      <c r="E35" s="368"/>
    </row>
    <row r="36" spans="8:8">
      <c r="A36" s="350"/>
      <c r="B36" s="369"/>
      <c r="C36" s="370"/>
      <c r="D36" s="370"/>
      <c r="E36" s="370"/>
    </row>
    <row r="37" spans="8:8">
      <c r="A37" s="350"/>
      <c r="B37" s="369"/>
      <c r="C37" s="370"/>
      <c r="D37" s="370"/>
      <c r="E37" s="370"/>
    </row>
    <row r="40" spans="8:8">
      <c r="A40" t="s">
        <v>128</v>
      </c>
    </row>
    <row r="41" spans="8:8">
      <c r="A41" t="s">
        <v>127</v>
      </c>
    </row>
    <row r="42" spans="8:8">
      <c r="A42" s="266" t="s">
        <v>453</v>
      </c>
    </row>
    <row r="43" spans="8:8">
      <c r="A43" s="266"/>
    </row>
    <row r="44" spans="8:8">
      <c r="A44" s="282" t="s">
        <v>97</v>
      </c>
    </row>
    <row r="45" spans="8:8">
      <c r="A45" s="356" t="s">
        <v>129</v>
      </c>
    </row>
    <row r="46" spans="8:8">
      <c r="A46" s="66" t="s">
        <v>407</v>
      </c>
      <c r="B46" s="61"/>
      <c r="C46" s="2"/>
      <c r="D46" s="2"/>
      <c r="E46" s="2"/>
      <c r="F46" s="2"/>
      <c r="G46" s="61"/>
      <c r="H46" s="2"/>
    </row>
    <row r="47" spans="8:8">
      <c r="A47" s="266" t="s">
        <v>444</v>
      </c>
    </row>
    <row r="48" spans="8:8">
      <c r="A48" s="266" t="s">
        <v>445</v>
      </c>
    </row>
    <row r="49" spans="8:8">
      <c r="A49" s="356" t="s">
        <v>125</v>
      </c>
    </row>
    <row r="50" spans="8:8">
      <c r="A50" s="266" t="s">
        <v>446</v>
      </c>
    </row>
    <row r="51" spans="8:8" ht="11.25" customHeight="1">
      <c r="A51" s="143" t="s">
        <v>447</v>
      </c>
    </row>
    <row r="52" spans="8:8" ht="11.25" customHeight="1">
      <c r="A52" s="143" t="s">
        <v>146</v>
      </c>
    </row>
    <row r="53" spans="8:8" s="5" customFormat="1">
      <c r="A53" s="5" t="s">
        <v>170</v>
      </c>
      <c r="B53" s="4"/>
      <c r="C53" s="4"/>
      <c r="D53" s="4"/>
      <c r="E53" s="4"/>
      <c r="F53" s="146"/>
      <c r="G53" s="4"/>
      <c r="H53" s="4"/>
      <c r="I53" s="4"/>
      <c r="K53" s="357"/>
      <c r="L53" s="357"/>
      <c r="M53" s="357"/>
      <c r="N53" s="357"/>
      <c r="O53" s="357"/>
    </row>
    <row r="54" spans="8:8">
      <c r="A54" s="282"/>
    </row>
    <row r="57" spans="8:8">
      <c r="A57" s="356"/>
    </row>
    <row r="59" spans="8:8">
      <c r="A59" s="282"/>
    </row>
  </sheetData>
  <pageMargins left="0.7" right="0.7" top="0.75" bottom="0.75" header="0.3" footer="0.3"/>
  <pageSetup paperSize="9" scale="9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Q44"/>
  <sheetViews>
    <sheetView workbookViewId="0">
      <selection activeCell="G9" sqref="G9"/>
    </sheetView>
  </sheetViews>
  <sheetFormatPr defaultRowHeight="12.75" defaultColWidth="10"/>
  <cols>
    <col min="1" max="1" customWidth="1" width="47.570312" style="0"/>
    <col min="2" max="2" customWidth="0" width="9.285156" style="34"/>
    <col min="3" max="3" customWidth="1" width="14.0" style="34"/>
    <col min="4" max="4" customWidth="0" width="9.285156" style="34"/>
    <col min="5" max="5" customWidth="1" width="13.140625" style="34"/>
    <col min="6" max="6" customWidth="1" width="14.7109375" style="89"/>
    <col min="7" max="7" customWidth="1" width="14.7109375" style="0"/>
  </cols>
  <sheetData>
    <row r="1" spans="8:8">
      <c r="A1" s="282" t="s">
        <v>530</v>
      </c>
    </row>
    <row r="2" spans="8:8">
      <c r="A2" s="282"/>
    </row>
    <row r="3" spans="8:8">
      <c r="A3" s="277" t="s">
        <v>1</v>
      </c>
      <c r="B3" s="325" t="s">
        <v>2</v>
      </c>
      <c r="C3" s="325" t="s">
        <v>100</v>
      </c>
      <c r="D3" s="325" t="s">
        <v>2</v>
      </c>
      <c r="E3" s="325" t="s">
        <v>105</v>
      </c>
      <c r="F3" s="146"/>
      <c r="G3" s="282"/>
    </row>
    <row r="4" spans="8:8" ht="25.5">
      <c r="A4" s="339" t="s">
        <v>90</v>
      </c>
      <c r="B4" s="340" t="s">
        <v>29</v>
      </c>
      <c r="C4" s="371">
        <v>40.0</v>
      </c>
      <c r="D4" s="372" t="s">
        <v>30</v>
      </c>
      <c r="E4" s="371">
        <f>C4*2.5</f>
        <v>100.0</v>
      </c>
    </row>
    <row r="5" spans="8:8" ht="25.5">
      <c r="A5" s="258" t="s">
        <v>138</v>
      </c>
      <c r="B5" s="340" t="s">
        <v>29</v>
      </c>
      <c r="C5" s="371">
        <v>26.0</v>
      </c>
      <c r="D5" s="372" t="s">
        <v>30</v>
      </c>
      <c r="E5" s="371">
        <f t="shared" si="0" ref="E5:E14">C5*2.5</f>
        <v>65.0</v>
      </c>
    </row>
    <row r="6" spans="8:8">
      <c r="A6" s="258" t="s">
        <v>81</v>
      </c>
      <c r="B6" s="340" t="s">
        <v>29</v>
      </c>
      <c r="C6" s="371">
        <v>6.0</v>
      </c>
      <c r="D6" s="372" t="s">
        <v>30</v>
      </c>
      <c r="E6" s="371">
        <f t="shared" si="0"/>
        <v>15.0</v>
      </c>
    </row>
    <row r="7" spans="8:8">
      <c r="A7" s="258" t="s">
        <v>106</v>
      </c>
      <c r="B7" s="340" t="s">
        <v>29</v>
      </c>
      <c r="C7" s="371">
        <v>8.0</v>
      </c>
      <c r="D7" s="372" t="s">
        <v>30</v>
      </c>
      <c r="E7" s="371">
        <f t="shared" si="0"/>
        <v>20.0</v>
      </c>
    </row>
    <row r="8" spans="8:8">
      <c r="A8" s="258" t="s">
        <v>87</v>
      </c>
      <c r="B8" s="340" t="s">
        <v>29</v>
      </c>
      <c r="C8" s="371">
        <v>6.0</v>
      </c>
      <c r="D8" s="372" t="s">
        <v>30</v>
      </c>
      <c r="E8" s="371">
        <f t="shared" si="0"/>
        <v>15.0</v>
      </c>
    </row>
    <row r="9" spans="8:8">
      <c r="A9" s="260" t="s">
        <v>93</v>
      </c>
      <c r="B9" s="340" t="s">
        <v>29</v>
      </c>
      <c r="C9" s="371">
        <v>16.0</v>
      </c>
      <c r="D9" s="372" t="s">
        <v>30</v>
      </c>
      <c r="E9" s="371">
        <f t="shared" si="0"/>
        <v>40.0</v>
      </c>
    </row>
    <row r="10" spans="8:8">
      <c r="A10" s="260" t="s">
        <v>21</v>
      </c>
      <c r="B10" s="340" t="s">
        <v>29</v>
      </c>
      <c r="C10" s="371">
        <v>2.0</v>
      </c>
      <c r="D10" s="372" t="s">
        <v>30</v>
      </c>
      <c r="E10" s="371">
        <f t="shared" si="0"/>
        <v>5.0</v>
      </c>
    </row>
    <row r="11" spans="8:8">
      <c r="A11" s="260" t="s">
        <v>54</v>
      </c>
      <c r="B11" s="340" t="s">
        <v>29</v>
      </c>
      <c r="C11" s="371">
        <v>80.0</v>
      </c>
      <c r="D11" s="372" t="s">
        <v>30</v>
      </c>
      <c r="E11" s="371">
        <f t="shared" si="0"/>
        <v>200.0</v>
      </c>
    </row>
    <row r="12" spans="8:8">
      <c r="A12" s="260" t="s">
        <v>5</v>
      </c>
      <c r="B12" s="340" t="s">
        <v>29</v>
      </c>
      <c r="C12" s="371">
        <v>8.0</v>
      </c>
      <c r="D12" s="372" t="s">
        <v>30</v>
      </c>
      <c r="E12" s="371">
        <f t="shared" si="0"/>
        <v>20.0</v>
      </c>
    </row>
    <row r="13" spans="8:8">
      <c r="A13" s="271" t="s">
        <v>6</v>
      </c>
      <c r="B13" s="343" t="s">
        <v>29</v>
      </c>
      <c r="C13" s="373">
        <f>SUM(C4:C12)</f>
        <v>192.0</v>
      </c>
      <c r="D13" s="372" t="s">
        <v>30</v>
      </c>
      <c r="E13" s="371">
        <f t="shared" si="0"/>
        <v>480.0</v>
      </c>
    </row>
    <row r="14" spans="8:8">
      <c r="A14" s="345" t="s">
        <v>400</v>
      </c>
      <c r="B14" s="358" t="s">
        <v>53</v>
      </c>
      <c r="C14" s="374">
        <f>C13*1500</f>
        <v>288000.0</v>
      </c>
      <c r="D14" s="375" t="s">
        <v>36</v>
      </c>
      <c r="E14" s="375">
        <f t="shared" si="0"/>
        <v>720000.0</v>
      </c>
    </row>
    <row r="15" spans="8:8">
      <c r="A15" s="271"/>
      <c r="B15" s="343"/>
      <c r="C15" s="347"/>
      <c r="D15" s="265"/>
      <c r="E15" s="265"/>
    </row>
    <row r="16" spans="8:8">
      <c r="A16" s="345" t="s">
        <v>104</v>
      </c>
      <c r="B16" s="358"/>
      <c r="C16" s="346"/>
      <c r="D16" s="263"/>
      <c r="E16" s="265"/>
    </row>
    <row r="17" spans="8:8">
      <c r="A17" s="271" t="s">
        <v>44</v>
      </c>
      <c r="B17" s="343" t="s">
        <v>38</v>
      </c>
      <c r="C17" s="347">
        <v>3000.0</v>
      </c>
      <c r="D17" s="376" t="s">
        <v>36</v>
      </c>
      <c r="E17" s="265">
        <f>C17*2.5</f>
        <v>7500.0</v>
      </c>
    </row>
    <row r="18" spans="8:8">
      <c r="A18" s="271" t="s">
        <v>55</v>
      </c>
      <c r="B18" s="343" t="s">
        <v>38</v>
      </c>
      <c r="C18" s="347">
        <v>12000.0</v>
      </c>
      <c r="D18" s="376" t="s">
        <v>36</v>
      </c>
      <c r="E18" s="265">
        <f t="shared" si="1" ref="E18:E27">C18*2.5</f>
        <v>30000.0</v>
      </c>
      <c r="H18" s="282"/>
      <c r="J18" s="34"/>
      <c r="K18" s="282"/>
      <c r="L18" s="282"/>
      <c r="N18" s="34"/>
      <c r="O18" s="282"/>
      <c r="P18" s="282"/>
      <c r="R18" s="34"/>
      <c r="S18" s="282"/>
      <c r="T18" s="282"/>
      <c r="V18" s="34"/>
      <c r="W18" s="282"/>
      <c r="X18" s="282"/>
      <c r="Z18" s="34"/>
      <c r="AA18" s="282"/>
      <c r="AB18" s="282"/>
      <c r="AD18" s="34"/>
      <c r="AE18" s="282"/>
      <c r="AF18" s="282"/>
      <c r="AH18" s="34"/>
      <c r="AI18" s="282"/>
      <c r="AJ18" s="282"/>
      <c r="AL18" s="34"/>
      <c r="AM18" s="282"/>
      <c r="AN18" s="282"/>
      <c r="AP18" s="34"/>
      <c r="AQ18" s="282"/>
      <c r="AR18" s="282"/>
      <c r="AT18" s="34"/>
      <c r="AU18" s="282"/>
      <c r="AV18" s="282"/>
      <c r="AX18" s="34"/>
      <c r="AY18" s="282"/>
      <c r="AZ18" s="282"/>
      <c r="BB18" s="34"/>
      <c r="BC18" s="282"/>
      <c r="BD18" s="282"/>
      <c r="BF18" s="34"/>
      <c r="BG18" s="282"/>
      <c r="BH18" s="282"/>
      <c r="BJ18" s="34"/>
      <c r="BK18" s="282"/>
      <c r="BL18" s="282"/>
      <c r="BN18" s="34"/>
      <c r="BO18" s="282"/>
      <c r="BP18" s="282"/>
      <c r="BR18" s="34"/>
      <c r="BS18" s="282"/>
      <c r="BT18" s="282"/>
      <c r="BV18" s="34"/>
      <c r="BW18" s="282"/>
      <c r="BX18" s="282"/>
      <c r="BZ18" s="34"/>
      <c r="CA18" s="282"/>
      <c r="CB18" s="282"/>
      <c r="CD18" s="34"/>
      <c r="CE18" s="282"/>
      <c r="CF18" s="282"/>
      <c r="CH18" s="34"/>
      <c r="CI18" s="282"/>
      <c r="CJ18" s="282"/>
      <c r="CL18" s="34"/>
      <c r="CM18" s="282"/>
      <c r="CN18" s="282"/>
      <c r="CP18" s="34"/>
      <c r="CQ18" s="282"/>
      <c r="CR18" s="282"/>
      <c r="CT18" s="34"/>
      <c r="CU18" s="282"/>
      <c r="CV18" s="282"/>
      <c r="CX18" s="34"/>
      <c r="CY18" s="282"/>
      <c r="CZ18" s="282"/>
      <c r="DB18" s="34"/>
      <c r="DC18" s="282"/>
      <c r="DD18" s="282"/>
      <c r="DF18" s="34"/>
      <c r="DG18" s="282"/>
      <c r="DH18" s="282"/>
      <c r="DJ18" s="34"/>
      <c r="DK18" s="282"/>
      <c r="DL18" s="282"/>
      <c r="DN18" s="34"/>
      <c r="DO18" s="282"/>
      <c r="DP18" s="282"/>
      <c r="DR18" s="34"/>
      <c r="DS18" s="282"/>
      <c r="DT18" s="282"/>
      <c r="DV18" s="34"/>
      <c r="DW18" s="282"/>
      <c r="DX18" s="282"/>
      <c r="DZ18" s="34"/>
      <c r="EA18" s="282"/>
      <c r="EB18" s="282"/>
      <c r="ED18" s="34"/>
      <c r="EE18" s="282"/>
      <c r="EF18" s="282"/>
      <c r="EH18" s="34"/>
      <c r="EI18" s="282"/>
      <c r="EJ18" s="282"/>
      <c r="EL18" s="34"/>
      <c r="EM18" s="282"/>
      <c r="EN18" s="282"/>
      <c r="EP18" s="34"/>
      <c r="EQ18" s="282"/>
      <c r="ER18" s="282"/>
      <c r="ET18" s="34"/>
      <c r="EU18" s="282"/>
      <c r="EV18" s="282"/>
      <c r="EX18" s="34"/>
      <c r="EY18" s="282"/>
      <c r="EZ18" s="282"/>
      <c r="FB18" s="34"/>
      <c r="FC18" s="282"/>
      <c r="FD18" s="282"/>
      <c r="FF18" s="34"/>
      <c r="FG18" s="282"/>
      <c r="FH18" s="282"/>
      <c r="FJ18" s="34"/>
      <c r="FK18" s="282"/>
      <c r="FL18" s="282"/>
      <c r="FN18" s="34"/>
      <c r="FO18" s="282"/>
      <c r="FP18" s="282"/>
      <c r="FR18" s="34"/>
      <c r="FS18" s="282"/>
      <c r="FT18" s="282"/>
      <c r="FV18" s="34"/>
      <c r="FW18" s="282"/>
      <c r="FX18" s="282"/>
      <c r="FZ18" s="34"/>
      <c r="GA18" s="282"/>
      <c r="GB18" s="282"/>
      <c r="GD18" s="34"/>
      <c r="GE18" s="282"/>
      <c r="GF18" s="282"/>
      <c r="GH18" s="34"/>
      <c r="GI18" s="282"/>
      <c r="GJ18" s="282"/>
      <c r="GL18" s="34"/>
      <c r="GM18" s="282"/>
      <c r="GN18" s="282"/>
      <c r="GP18" s="34"/>
      <c r="GQ18" s="282"/>
      <c r="GR18" s="282"/>
      <c r="GT18" s="34"/>
      <c r="GU18" s="282"/>
      <c r="GV18" s="282"/>
      <c r="GX18" s="34"/>
      <c r="GY18" s="282"/>
      <c r="GZ18" s="282"/>
      <c r="HB18" s="34"/>
      <c r="HC18" s="282"/>
      <c r="HD18" s="282"/>
      <c r="HF18" s="34"/>
      <c r="HG18" s="282"/>
      <c r="HH18" s="282"/>
      <c r="HJ18" s="34"/>
      <c r="HK18" s="282"/>
      <c r="HL18" s="282"/>
      <c r="HN18" s="34"/>
      <c r="HO18" s="282"/>
      <c r="HP18" s="282"/>
      <c r="HR18" s="34"/>
      <c r="HS18" s="282"/>
      <c r="HT18" s="282"/>
      <c r="HV18" s="34"/>
      <c r="HW18" s="282"/>
      <c r="HX18" s="282"/>
      <c r="HZ18" s="34"/>
      <c r="IA18" s="282"/>
      <c r="IB18" s="282"/>
      <c r="ID18" s="34"/>
      <c r="IE18" s="282"/>
      <c r="IF18" s="282"/>
      <c r="IH18" s="34"/>
      <c r="II18" s="282"/>
      <c r="IJ18" s="282"/>
      <c r="IL18" s="34"/>
      <c r="IM18" s="282"/>
      <c r="IN18" s="282"/>
      <c r="IP18" s="34"/>
    </row>
    <row r="19" spans="8:8">
      <c r="A19" s="272" t="s">
        <v>483</v>
      </c>
      <c r="B19" s="377" t="s">
        <v>38</v>
      </c>
      <c r="C19" s="347">
        <f>320*70</f>
        <v>22400.0</v>
      </c>
      <c r="D19" s="376" t="s">
        <v>36</v>
      </c>
      <c r="E19" s="265">
        <f t="shared" si="1"/>
        <v>56000.0</v>
      </c>
    </row>
    <row r="20" spans="8:8">
      <c r="A20" s="272" t="s">
        <v>142</v>
      </c>
      <c r="B20" s="377" t="s">
        <v>38</v>
      </c>
      <c r="C20" s="347">
        <v>3000.0</v>
      </c>
      <c r="D20" s="376" t="s">
        <v>36</v>
      </c>
      <c r="E20" s="265">
        <f t="shared" si="1"/>
        <v>7500.0</v>
      </c>
    </row>
    <row r="21" spans="8:8" ht="25.5">
      <c r="A21" s="272" t="s">
        <v>480</v>
      </c>
      <c r="B21" s="377" t="s">
        <v>38</v>
      </c>
      <c r="C21" s="347">
        <f>4*16000</f>
        <v>64000.0</v>
      </c>
      <c r="D21" s="376" t="s">
        <v>36</v>
      </c>
      <c r="E21" s="265">
        <f>C21*2.5</f>
        <v>160000.0</v>
      </c>
    </row>
    <row r="22" spans="8:8">
      <c r="A22" s="272" t="s">
        <v>482</v>
      </c>
      <c r="B22" s="377" t="s">
        <v>38</v>
      </c>
      <c r="C22" s="347">
        <f>4*1200</f>
        <v>4800.0</v>
      </c>
      <c r="D22" s="376" t="s">
        <v>36</v>
      </c>
      <c r="E22" s="265">
        <f t="shared" si="1"/>
        <v>12000.0</v>
      </c>
    </row>
    <row r="23" spans="8:8">
      <c r="A23" s="271" t="s">
        <v>89</v>
      </c>
      <c r="B23" s="377" t="s">
        <v>38</v>
      </c>
      <c r="C23" s="347">
        <v>30000.0</v>
      </c>
      <c r="D23" s="376" t="s">
        <v>36</v>
      </c>
      <c r="E23" s="265">
        <f t="shared" si="1"/>
        <v>75000.0</v>
      </c>
    </row>
    <row r="24" spans="8:8" ht="15.75">
      <c r="A24" s="272" t="s">
        <v>88</v>
      </c>
      <c r="B24" s="377" t="s">
        <v>38</v>
      </c>
      <c r="C24" s="347">
        <v>58800.0</v>
      </c>
      <c r="D24" s="376" t="s">
        <v>36</v>
      </c>
      <c r="E24" s="265">
        <f>C24*2.5</f>
        <v>147000.0</v>
      </c>
    </row>
    <row r="25" spans="8:8">
      <c r="A25" s="272" t="s">
        <v>58</v>
      </c>
      <c r="B25" s="377" t="s">
        <v>38</v>
      </c>
      <c r="C25" s="347">
        <v>7500.0</v>
      </c>
      <c r="D25" s="376" t="s">
        <v>36</v>
      </c>
      <c r="E25" s="265">
        <f t="shared" si="1"/>
        <v>18750.0</v>
      </c>
    </row>
    <row r="26" spans="8:8">
      <c r="A26" s="345" t="s">
        <v>32</v>
      </c>
      <c r="B26" s="378" t="s">
        <v>38</v>
      </c>
      <c r="C26" s="346">
        <f>SUM(C17:C25)</f>
        <v>205500.0</v>
      </c>
      <c r="D26" s="263" t="s">
        <v>36</v>
      </c>
      <c r="E26" s="263">
        <f t="shared" si="1"/>
        <v>513750.0</v>
      </c>
    </row>
    <row r="27" spans="8:8">
      <c r="A27" s="274" t="s">
        <v>13</v>
      </c>
      <c r="B27" s="379" t="s">
        <v>38</v>
      </c>
      <c r="C27" s="276">
        <f>C26+C14</f>
        <v>493500.0</v>
      </c>
      <c r="D27" s="276" t="s">
        <v>36</v>
      </c>
      <c r="E27" s="276">
        <f t="shared" si="1"/>
        <v>1233750.0</v>
      </c>
    </row>
    <row r="28" spans="8:8">
      <c r="A28" s="345"/>
      <c r="B28" s="377"/>
      <c r="C28" s="347"/>
      <c r="D28" s="376"/>
      <c r="E28" s="265"/>
    </row>
    <row r="29" spans="8:8">
      <c r="A29" s="345" t="s">
        <v>18</v>
      </c>
      <c r="B29" s="343"/>
      <c r="C29" s="347"/>
      <c r="D29" s="376"/>
      <c r="E29" s="265"/>
    </row>
    <row r="30" spans="8:8">
      <c r="A30" s="271" t="s">
        <v>398</v>
      </c>
      <c r="B30" s="343" t="s">
        <v>52</v>
      </c>
      <c r="C30" s="347">
        <v>9600.0</v>
      </c>
      <c r="D30" s="376" t="s">
        <v>39</v>
      </c>
      <c r="E30" s="265">
        <f>C30*2.5</f>
        <v>24000.0</v>
      </c>
    </row>
    <row r="31" spans="8:8">
      <c r="A31" s="279" t="s">
        <v>507</v>
      </c>
      <c r="B31" s="364" t="s">
        <v>53</v>
      </c>
      <c r="C31" s="353">
        <f>C30*108.01</f>
        <v>1036896.0</v>
      </c>
      <c r="D31" s="380" t="s">
        <v>36</v>
      </c>
      <c r="E31" s="281">
        <f t="shared" si="2" ref="E31:E32">C31*2.5</f>
        <v>2592240.0</v>
      </c>
    </row>
    <row r="32" spans="8:8">
      <c r="A32" s="274" t="s">
        <v>9</v>
      </c>
      <c r="B32" s="362" t="s">
        <v>53</v>
      </c>
      <c r="C32" s="276">
        <f>C31-C27</f>
        <v>543396.0</v>
      </c>
      <c r="D32" s="276" t="s">
        <v>36</v>
      </c>
      <c r="E32" s="276">
        <f t="shared" si="2"/>
        <v>1358490.0</v>
      </c>
    </row>
    <row r="33" spans="8:8">
      <c r="A33" s="284" t="s">
        <v>10</v>
      </c>
      <c r="B33" s="365" t="s">
        <v>8</v>
      </c>
      <c r="C33" s="381">
        <f>C27/C30</f>
        <v>51.40625</v>
      </c>
      <c r="D33" s="365" t="s">
        <v>8</v>
      </c>
      <c r="E33" s="381">
        <f>E27/E30</f>
        <v>51.40625</v>
      </c>
    </row>
    <row r="34" spans="8:8">
      <c r="C34" s="336"/>
    </row>
    <row r="35" spans="8:8">
      <c r="C35" s="336"/>
    </row>
    <row r="36" spans="8:8">
      <c r="A36" s="266" t="s">
        <v>454</v>
      </c>
    </row>
    <row r="37" spans="8:8">
      <c r="A37" s="282"/>
    </row>
    <row r="38" spans="8:8">
      <c r="A38" s="382" t="s">
        <v>114</v>
      </c>
      <c r="F38" s="146"/>
    </row>
    <row r="39" spans="8:8" s="5" customFormat="1">
      <c r="A39" s="5" t="s">
        <v>137</v>
      </c>
      <c r="B39" s="4"/>
      <c r="C39" s="4"/>
      <c r="D39" s="4"/>
      <c r="E39" s="4"/>
      <c r="F39" s="2"/>
      <c r="G39" s="4"/>
      <c r="H39" s="4"/>
      <c r="I39" s="4"/>
      <c r="J39" s="4"/>
      <c r="L39" s="357"/>
      <c r="M39" s="357"/>
      <c r="N39" s="357"/>
      <c r="O39" s="357"/>
      <c r="P39" s="357"/>
    </row>
    <row r="40" spans="8:8" s="5" customFormat="1">
      <c r="A40" s="66" t="s">
        <v>407</v>
      </c>
      <c r="B40" s="61"/>
      <c r="C40" s="2"/>
      <c r="D40" s="2"/>
      <c r="E40" s="2"/>
      <c r="F40" s="89"/>
      <c r="G40" s="61"/>
      <c r="H40" s="4"/>
      <c r="I40" s="4"/>
      <c r="J40" s="4"/>
      <c r="L40" s="357"/>
      <c r="M40" s="357"/>
      <c r="N40" s="357"/>
      <c r="O40" s="357"/>
      <c r="P40" s="357"/>
    </row>
    <row r="41" spans="8:8">
      <c r="A41" s="181" t="s">
        <v>448</v>
      </c>
    </row>
    <row r="42" spans="8:8">
      <c r="A42" s="181" t="s">
        <v>461</v>
      </c>
    </row>
    <row r="43" spans="8:8">
      <c r="A43" s="383"/>
    </row>
    <row r="44" spans="8:8">
      <c r="A44" s="357"/>
    </row>
  </sheetData>
  <pageMargins left="0.47" right="0.47" top="1.0" bottom="1.0" header="0.5" footer="0.5"/>
  <headerFooter alignWithMargins="0"/>
</worksheet>
</file>

<file path=xl/worksheets/sheet2.xml><?xml version="1.0" encoding="utf-8"?>
<worksheet xmlns:r="http://schemas.openxmlformats.org/officeDocument/2006/relationships" xmlns="http://schemas.openxmlformats.org/spreadsheetml/2006/main">
  <dimension ref="A1:AC118"/>
  <sheetViews>
    <sheetView workbookViewId="0">
      <selection activeCell="B1" sqref="B1"/>
    </sheetView>
  </sheetViews>
  <sheetFormatPr defaultRowHeight="12.0" defaultColWidth="9"/>
  <cols>
    <col min="1" max="1" customWidth="1" width="30.570312" style="1"/>
    <col min="2" max="2" customWidth="1" width="9.425781" style="1"/>
    <col min="3" max="3" customWidth="1" width="12.855469" style="2"/>
    <col min="4" max="4" customWidth="1" width="12.7109375" style="2"/>
    <col min="5" max="5" customWidth="1" width="13.0" style="2"/>
    <col min="6" max="6" customWidth="1" width="11.425781" style="2"/>
    <col min="7" max="7" customWidth="1" width="13.140625" style="2"/>
    <col min="8" max="8" customWidth="1" width="12.425781" style="2"/>
    <col min="9" max="9" customWidth="1" width="13.5703125" style="2"/>
    <col min="10" max="11" customWidth="1" width="12.285156" style="2"/>
    <col min="12" max="12" customWidth="1" width="13.0" style="2"/>
    <col min="13" max="13" customWidth="1" width="12.425781" style="2"/>
    <col min="14" max="14" customWidth="1" width="12.7109375" style="68"/>
    <col min="15" max="15" customWidth="1" width="13.0" style="1"/>
    <col min="16" max="18" customWidth="0" width="9.285156" style="1"/>
    <col min="19" max="19" customWidth="1" width="8.285156" style="1"/>
    <col min="20" max="20" customWidth="1" width="14.7109375" style="1"/>
    <col min="21" max="23" customWidth="0" width="9.285156" style="1"/>
    <col min="24" max="24" customWidth="1" width="14.0" style="1"/>
    <col min="25" max="16384" customWidth="0" width="9.285156" style="1"/>
  </cols>
  <sheetData>
    <row r="1" spans="8:8" s="7" customFormat="1">
      <c r="B1" s="5" t="s">
        <v>518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69"/>
    </row>
    <row r="2" spans="8:8" s="7" ht="12.0" customFormat="1">
      <c r="A2" s="9"/>
      <c r="B2" s="10" t="s">
        <v>2</v>
      </c>
      <c r="C2" s="11" t="s">
        <v>70</v>
      </c>
      <c r="D2" s="11" t="s">
        <v>71</v>
      </c>
      <c r="E2" s="11" t="s">
        <v>72</v>
      </c>
      <c r="F2" s="11" t="s">
        <v>66</v>
      </c>
      <c r="G2" s="11" t="s">
        <v>73</v>
      </c>
      <c r="H2" s="11" t="s">
        <v>74</v>
      </c>
      <c r="I2" s="11" t="s">
        <v>75</v>
      </c>
      <c r="J2" s="11" t="s">
        <v>76</v>
      </c>
      <c r="K2" s="11" t="s">
        <v>77</v>
      </c>
      <c r="L2" s="11" t="s">
        <v>113</v>
      </c>
      <c r="M2" s="11" t="s">
        <v>95</v>
      </c>
      <c r="N2" s="69"/>
    </row>
    <row r="3" spans="8:8">
      <c r="A3" s="10" t="s">
        <v>22</v>
      </c>
      <c r="B3" s="9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R3" s="2"/>
      <c r="S3" s="2"/>
      <c r="T3" s="2"/>
      <c r="U3" s="2"/>
    </row>
    <row r="4" spans="8:8">
      <c r="A4" s="10" t="s">
        <v>96</v>
      </c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R4" s="2"/>
      <c r="S4" s="2"/>
      <c r="T4" s="2"/>
      <c r="U4" s="2"/>
    </row>
    <row r="5" spans="8:8" s="6" ht="24.0" customFormat="1">
      <c r="A5" s="22" t="s">
        <v>3</v>
      </c>
      <c r="B5" s="15" t="s">
        <v>112</v>
      </c>
      <c r="C5" s="20">
        <v>20.0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70"/>
      <c r="R5" s="2"/>
      <c r="S5" s="2"/>
      <c r="T5" s="2"/>
      <c r="U5" s="2"/>
    </row>
    <row r="6" spans="8:8" s="6" ht="12.0" customFormat="1">
      <c r="A6" s="31" t="s">
        <v>131</v>
      </c>
      <c r="B6" s="31" t="s">
        <v>112</v>
      </c>
      <c r="C6" s="27">
        <v>15.0</v>
      </c>
      <c r="D6" s="27">
        <v>8.0</v>
      </c>
      <c r="E6" s="27">
        <v>8.0</v>
      </c>
      <c r="F6" s="20">
        <v>8.0</v>
      </c>
      <c r="G6" s="20">
        <v>8.0</v>
      </c>
      <c r="H6" s="20">
        <v>8.0</v>
      </c>
      <c r="I6" s="20">
        <v>8.0</v>
      </c>
      <c r="J6" s="20">
        <v>8.0</v>
      </c>
      <c r="K6" s="20">
        <v>8.0</v>
      </c>
      <c r="L6" s="20">
        <v>8.0</v>
      </c>
      <c r="M6" s="20">
        <v>8.0</v>
      </c>
      <c r="N6" s="70"/>
      <c r="R6" s="3"/>
      <c r="S6" s="3"/>
      <c r="T6" s="3"/>
      <c r="U6" s="3"/>
    </row>
    <row r="7" spans="8:8">
      <c r="A7" s="31" t="s">
        <v>33</v>
      </c>
      <c r="B7" s="31" t="s">
        <v>112</v>
      </c>
      <c r="C7" s="27">
        <v>60.0</v>
      </c>
      <c r="D7" s="27"/>
      <c r="E7" s="27"/>
      <c r="F7" s="16"/>
      <c r="G7" s="16"/>
      <c r="H7" s="16"/>
      <c r="I7" s="16"/>
      <c r="J7" s="16"/>
      <c r="K7" s="16"/>
      <c r="L7" s="16"/>
      <c r="M7" s="16"/>
    </row>
    <row r="8" spans="8:8" ht="11.25" customHeight="1">
      <c r="A8" s="35" t="s">
        <v>69</v>
      </c>
      <c r="B8" s="31" t="s">
        <v>112</v>
      </c>
      <c r="C8" s="27">
        <v>24.0</v>
      </c>
      <c r="D8" s="27"/>
      <c r="E8" s="27"/>
      <c r="F8" s="16"/>
      <c r="G8" s="16"/>
      <c r="H8" s="16"/>
      <c r="I8" s="16"/>
      <c r="J8" s="16"/>
      <c r="K8" s="16"/>
      <c r="L8" s="16"/>
      <c r="M8" s="16"/>
      <c r="P8" s="7"/>
    </row>
    <row r="9" spans="8:8">
      <c r="A9" s="35" t="s">
        <v>68</v>
      </c>
      <c r="B9" s="31" t="s">
        <v>112</v>
      </c>
      <c r="C9" s="27">
        <v>18.0</v>
      </c>
      <c r="D9" s="27"/>
      <c r="E9" s="27"/>
      <c r="F9" s="16"/>
      <c r="G9" s="16"/>
      <c r="H9" s="16"/>
      <c r="I9" s="16"/>
      <c r="J9" s="16"/>
      <c r="K9" s="16"/>
      <c r="L9" s="16"/>
      <c r="M9" s="16"/>
      <c r="P9" s="7"/>
    </row>
    <row r="10" spans="8:8">
      <c r="A10" s="31" t="s">
        <v>80</v>
      </c>
      <c r="B10" s="31" t="s">
        <v>112</v>
      </c>
      <c r="C10" s="27">
        <v>18.0</v>
      </c>
      <c r="D10" s="27"/>
      <c r="E10" s="27"/>
      <c r="F10" s="16"/>
      <c r="G10" s="16"/>
      <c r="H10" s="16"/>
      <c r="I10" s="16"/>
      <c r="J10" s="16"/>
      <c r="K10" s="16"/>
      <c r="L10" s="16"/>
      <c r="M10" s="16"/>
    </row>
    <row r="11" spans="8:8">
      <c r="A11" s="31" t="s">
        <v>42</v>
      </c>
      <c r="B11" s="31" t="s">
        <v>112</v>
      </c>
      <c r="C11" s="27">
        <v>12.0</v>
      </c>
      <c r="D11" s="27">
        <v>6.0</v>
      </c>
      <c r="E11" s="27">
        <v>3.0</v>
      </c>
      <c r="F11" s="16">
        <v>1.0</v>
      </c>
      <c r="G11" s="16"/>
      <c r="H11" s="16"/>
      <c r="I11" s="16"/>
      <c r="J11" s="16"/>
      <c r="K11" s="16"/>
      <c r="L11" s="16"/>
      <c r="M11" s="16"/>
      <c r="R11" s="2"/>
      <c r="S11" s="2"/>
      <c r="T11" s="2"/>
      <c r="U11" s="2"/>
    </row>
    <row r="12" spans="8:8">
      <c r="A12" s="31" t="s">
        <v>28</v>
      </c>
      <c r="B12" s="31" t="s">
        <v>112</v>
      </c>
      <c r="C12" s="27">
        <v>10.0</v>
      </c>
      <c r="D12" s="27">
        <v>40.0</v>
      </c>
      <c r="E12" s="27">
        <v>40.0</v>
      </c>
      <c r="F12" s="16">
        <v>40.0</v>
      </c>
      <c r="G12" s="16">
        <v>40.0</v>
      </c>
      <c r="H12" s="16">
        <v>40.0</v>
      </c>
      <c r="I12" s="16">
        <v>40.0</v>
      </c>
      <c r="J12" s="16">
        <v>40.0</v>
      </c>
      <c r="K12" s="16">
        <v>40.0</v>
      </c>
      <c r="L12" s="16">
        <v>40.0</v>
      </c>
      <c r="M12" s="16">
        <v>40.0</v>
      </c>
      <c r="R12" s="2"/>
      <c r="S12" s="2"/>
      <c r="T12" s="2"/>
      <c r="U12" s="2"/>
    </row>
    <row r="13" spans="8:8">
      <c r="A13" s="31" t="s">
        <v>11</v>
      </c>
      <c r="B13" s="31" t="s">
        <v>112</v>
      </c>
      <c r="C13" s="27">
        <v>3.0</v>
      </c>
      <c r="D13" s="27">
        <v>4.0</v>
      </c>
      <c r="E13" s="27">
        <v>6.0</v>
      </c>
      <c r="F13" s="16">
        <v>6.0</v>
      </c>
      <c r="G13" s="16">
        <v>6.0</v>
      </c>
      <c r="H13" s="16">
        <v>6.0</v>
      </c>
      <c r="I13" s="16">
        <v>6.0</v>
      </c>
      <c r="J13" s="16">
        <v>6.0</v>
      </c>
      <c r="K13" s="16">
        <v>6.0</v>
      </c>
      <c r="L13" s="16">
        <v>6.0</v>
      </c>
      <c r="M13" s="16">
        <v>6.0</v>
      </c>
      <c r="R13" s="2"/>
      <c r="S13" s="2"/>
      <c r="T13" s="2"/>
      <c r="U13" s="2"/>
    </row>
    <row r="14" spans="8:8" ht="24.0">
      <c r="A14" s="35" t="s">
        <v>43</v>
      </c>
      <c r="B14" s="31" t="s">
        <v>112</v>
      </c>
      <c r="C14" s="27"/>
      <c r="D14" s="27">
        <v>3.0</v>
      </c>
      <c r="E14" s="27">
        <v>5.0</v>
      </c>
      <c r="F14" s="16">
        <v>10.0</v>
      </c>
      <c r="G14" s="16">
        <v>15.0</v>
      </c>
      <c r="H14" s="16">
        <v>15.0</v>
      </c>
      <c r="I14" s="16">
        <v>15.0</v>
      </c>
      <c r="J14" s="16">
        <v>18.0</v>
      </c>
      <c r="K14" s="16">
        <v>18.0</v>
      </c>
      <c r="L14" s="16">
        <v>20.0</v>
      </c>
      <c r="M14" s="16">
        <v>20.0</v>
      </c>
      <c r="R14" s="2"/>
      <c r="S14" s="2"/>
      <c r="T14" s="2"/>
      <c r="U14" s="2"/>
    </row>
    <row r="15" spans="8:8">
      <c r="A15" s="31" t="s">
        <v>21</v>
      </c>
      <c r="B15" s="31" t="s">
        <v>112</v>
      </c>
      <c r="C15" s="27">
        <v>2.0</v>
      </c>
      <c r="D15" s="27">
        <v>2.0</v>
      </c>
      <c r="E15" s="27">
        <v>3.0</v>
      </c>
      <c r="F15" s="16">
        <v>3.0</v>
      </c>
      <c r="G15" s="16">
        <v>6.0</v>
      </c>
      <c r="H15" s="16">
        <v>6.0</v>
      </c>
      <c r="I15" s="16">
        <v>6.0</v>
      </c>
      <c r="J15" s="16">
        <v>6.0</v>
      </c>
      <c r="K15" s="16">
        <v>6.0</v>
      </c>
      <c r="L15" s="16">
        <v>8.0</v>
      </c>
      <c r="M15" s="16">
        <v>10.0</v>
      </c>
      <c r="R15" s="2"/>
      <c r="S15" s="2"/>
      <c r="T15" s="2"/>
      <c r="U15" s="2"/>
    </row>
    <row r="16" spans="8:8">
      <c r="A16" s="31" t="s">
        <v>5</v>
      </c>
      <c r="B16" s="31" t="s">
        <v>112</v>
      </c>
      <c r="C16" s="27">
        <v>2.0</v>
      </c>
      <c r="D16" s="27">
        <v>2.0</v>
      </c>
      <c r="E16" s="27">
        <v>5.0</v>
      </c>
      <c r="F16" s="16">
        <v>5.0</v>
      </c>
      <c r="G16" s="16">
        <v>5.0</v>
      </c>
      <c r="H16" s="16">
        <v>5.0</v>
      </c>
      <c r="I16" s="16">
        <v>5.0</v>
      </c>
      <c r="J16" s="16">
        <v>5.0</v>
      </c>
      <c r="K16" s="16">
        <v>5.0</v>
      </c>
      <c r="L16" s="16">
        <v>5.0</v>
      </c>
      <c r="M16" s="16">
        <v>5.0</v>
      </c>
      <c r="R16" s="2"/>
      <c r="S16" s="2"/>
      <c r="T16" s="2"/>
      <c r="U16" s="2"/>
      <c r="Z16" s="6"/>
      <c r="AA16" s="6"/>
    </row>
    <row r="17" spans="8:8">
      <c r="A17" s="31" t="s">
        <v>34</v>
      </c>
      <c r="B17" s="31" t="s">
        <v>112</v>
      </c>
      <c r="C17" s="27">
        <f>SUM(C5:C16)</f>
        <v>184.0</v>
      </c>
      <c r="D17" s="27">
        <f t="shared" si="0" ref="D17:M17">SUM(D5:D16)</f>
        <v>65.0</v>
      </c>
      <c r="E17" s="27">
        <f t="shared" si="0"/>
        <v>70.0</v>
      </c>
      <c r="F17" s="16">
        <f t="shared" si="0"/>
        <v>73.0</v>
      </c>
      <c r="G17" s="16">
        <f t="shared" si="0"/>
        <v>80.0</v>
      </c>
      <c r="H17" s="16">
        <f t="shared" si="0"/>
        <v>80.0</v>
      </c>
      <c r="I17" s="16">
        <f t="shared" si="0"/>
        <v>80.0</v>
      </c>
      <c r="J17" s="16">
        <f t="shared" si="0"/>
        <v>83.0</v>
      </c>
      <c r="K17" s="16">
        <f t="shared" si="0"/>
        <v>83.0</v>
      </c>
      <c r="L17" s="16">
        <f t="shared" si="0"/>
        <v>87.0</v>
      </c>
      <c r="M17" s="16">
        <f t="shared" si="0"/>
        <v>89.0</v>
      </c>
      <c r="R17" s="2"/>
      <c r="S17" s="2"/>
      <c r="T17" s="2"/>
      <c r="U17" s="2"/>
    </row>
    <row r="18" spans="8:8">
      <c r="A18" s="31" t="s">
        <v>35</v>
      </c>
      <c r="B18" s="31" t="s">
        <v>102</v>
      </c>
      <c r="C18" s="27">
        <f>C17*2.5</f>
        <v>460.0</v>
      </c>
      <c r="D18" s="27">
        <f t="shared" si="1" ref="D18:M18">D17*2.5</f>
        <v>162.5</v>
      </c>
      <c r="E18" s="27">
        <f t="shared" si="1"/>
        <v>175.0</v>
      </c>
      <c r="F18" s="16">
        <f t="shared" si="1"/>
        <v>182.5</v>
      </c>
      <c r="G18" s="16">
        <f t="shared" si="1"/>
        <v>200.0</v>
      </c>
      <c r="H18" s="16">
        <f t="shared" si="1"/>
        <v>200.0</v>
      </c>
      <c r="I18" s="16">
        <f t="shared" si="1"/>
        <v>200.0</v>
      </c>
      <c r="J18" s="16">
        <f t="shared" si="1"/>
        <v>207.5</v>
      </c>
      <c r="K18" s="16">
        <f t="shared" si="1"/>
        <v>207.5</v>
      </c>
      <c r="L18" s="16">
        <f t="shared" si="1"/>
        <v>217.5</v>
      </c>
      <c r="M18" s="16">
        <f t="shared" si="1"/>
        <v>222.5</v>
      </c>
      <c r="O18" s="6"/>
      <c r="P18" s="6"/>
      <c r="Q18" s="6"/>
      <c r="R18" s="2"/>
      <c r="S18" s="2"/>
      <c r="T18" s="2"/>
      <c r="U18" s="2"/>
      <c r="V18" s="6"/>
      <c r="W18" s="6"/>
      <c r="X18" s="6"/>
    </row>
    <row r="19" spans="8:8">
      <c r="A19" s="31" t="s">
        <v>145</v>
      </c>
      <c r="B19" s="31" t="s">
        <v>17</v>
      </c>
      <c r="C19" s="32">
        <f>C18*1500</f>
        <v>690000.0</v>
      </c>
      <c r="D19" s="32">
        <f t="shared" si="2" ref="D19:M19">D18*1500</f>
        <v>243750.0</v>
      </c>
      <c r="E19" s="32">
        <f t="shared" si="2"/>
        <v>262500.0</v>
      </c>
      <c r="F19" s="32">
        <f t="shared" si="2"/>
        <v>273750.0</v>
      </c>
      <c r="G19" s="32">
        <f t="shared" si="2"/>
        <v>300000.0</v>
      </c>
      <c r="H19" s="32">
        <f t="shared" si="2"/>
        <v>300000.0</v>
      </c>
      <c r="I19" s="32">
        <f t="shared" si="2"/>
        <v>300000.0</v>
      </c>
      <c r="J19" s="32">
        <f t="shared" si="2"/>
        <v>311250.0</v>
      </c>
      <c r="K19" s="32">
        <f t="shared" si="2"/>
        <v>311250.0</v>
      </c>
      <c r="L19" s="32">
        <f t="shared" si="2"/>
        <v>326250.0</v>
      </c>
      <c r="M19" s="32">
        <f t="shared" si="2"/>
        <v>333750.0</v>
      </c>
      <c r="R19" s="3"/>
      <c r="S19" s="3"/>
      <c r="T19" s="3"/>
      <c r="U19" s="3"/>
    </row>
    <row r="20" spans="8:8" ht="24.0">
      <c r="A20" s="35" t="s">
        <v>396</v>
      </c>
      <c r="B20" s="31" t="s">
        <v>17</v>
      </c>
      <c r="C20" s="32"/>
      <c r="D20" s="32"/>
      <c r="E20" s="32">
        <f>15*E36</f>
        <v>3900.0</v>
      </c>
      <c r="F20" s="33">
        <f t="shared" si="3" ref="F20:M20">15*F36</f>
        <v>5625.0</v>
      </c>
      <c r="G20" s="33">
        <f t="shared" si="3"/>
        <v>13365.0</v>
      </c>
      <c r="H20" s="33">
        <f t="shared" si="3"/>
        <v>16031.25</v>
      </c>
      <c r="I20" s="33">
        <f t="shared" si="3"/>
        <v>16031.25</v>
      </c>
      <c r="J20" s="33">
        <f t="shared" si="3"/>
        <v>16672.5</v>
      </c>
      <c r="K20" s="33">
        <f t="shared" si="3"/>
        <v>16672.5</v>
      </c>
      <c r="L20" s="33">
        <f t="shared" si="3"/>
        <v>19237.5</v>
      </c>
      <c r="M20" s="33">
        <f t="shared" si="3"/>
        <v>16875.0</v>
      </c>
      <c r="R20" s="2"/>
      <c r="S20" s="2"/>
      <c r="T20" s="2"/>
      <c r="U20" s="2"/>
    </row>
    <row r="21" spans="8:8">
      <c r="A21" s="42" t="s">
        <v>144</v>
      </c>
      <c r="B21" s="28" t="s">
        <v>17</v>
      </c>
      <c r="C21" s="30">
        <f>C20+C19</f>
        <v>690000.0</v>
      </c>
      <c r="D21" s="30">
        <f>D20+D19</f>
        <v>243750.0</v>
      </c>
      <c r="E21" s="30">
        <f>E20+E19</f>
        <v>266400.0</v>
      </c>
      <c r="F21" s="43">
        <f t="shared" si="4" ref="F21:M21">F20+F19</f>
        <v>279375.0</v>
      </c>
      <c r="G21" s="43">
        <f t="shared" si="4"/>
        <v>313365.0</v>
      </c>
      <c r="H21" s="43">
        <f t="shared" si="4"/>
        <v>316031.25</v>
      </c>
      <c r="I21" s="43">
        <f t="shared" si="4"/>
        <v>316031.25</v>
      </c>
      <c r="J21" s="43">
        <f t="shared" si="4"/>
        <v>327922.5</v>
      </c>
      <c r="K21" s="43">
        <f t="shared" si="4"/>
        <v>327922.5</v>
      </c>
      <c r="L21" s="43">
        <f t="shared" si="4"/>
        <v>345487.5</v>
      </c>
      <c r="M21" s="43">
        <f t="shared" si="4"/>
        <v>350625.0</v>
      </c>
      <c r="N21" s="71"/>
      <c r="R21" s="2"/>
      <c r="S21" s="2"/>
      <c r="T21" s="2"/>
      <c r="U21" s="2"/>
    </row>
    <row r="22" spans="8:8" s="17" ht="12.0" customFormat="1">
      <c r="A22" s="31"/>
      <c r="B22" s="31"/>
      <c r="C22" s="32"/>
      <c r="D22" s="32"/>
      <c r="E22" s="32"/>
      <c r="F22" s="72"/>
      <c r="G22" s="72"/>
      <c r="H22" s="72"/>
      <c r="I22" s="72"/>
      <c r="J22" s="72"/>
      <c r="K22" s="72"/>
      <c r="L22" s="72"/>
      <c r="M22" s="72"/>
      <c r="N22" s="7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8:8">
      <c r="A23" s="28" t="s">
        <v>25</v>
      </c>
      <c r="B23" s="31"/>
      <c r="C23" s="32"/>
      <c r="D23" s="32"/>
      <c r="E23" s="32"/>
      <c r="F23" s="33"/>
      <c r="G23" s="33"/>
      <c r="H23" s="33"/>
      <c r="I23" s="33"/>
      <c r="J23" s="33"/>
      <c r="K23" s="33"/>
      <c r="L23" s="33"/>
      <c r="M23" s="33"/>
      <c r="N23" s="71"/>
      <c r="P23" s="7"/>
    </row>
    <row r="24" spans="8:8">
      <c r="A24" s="31" t="s">
        <v>44</v>
      </c>
      <c r="B24" s="31" t="s">
        <v>26</v>
      </c>
      <c r="C24" s="32">
        <v>3000.0</v>
      </c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71"/>
      <c r="P24" s="7"/>
    </row>
    <row r="25" spans="8:8">
      <c r="A25" s="35" t="s">
        <v>473</v>
      </c>
      <c r="B25" s="31" t="s">
        <v>26</v>
      </c>
      <c r="C25" s="32">
        <f>16000*4</f>
        <v>64000.0</v>
      </c>
      <c r="D25" s="32"/>
      <c r="E25" s="32"/>
      <c r="F25" s="33"/>
      <c r="G25" s="33"/>
      <c r="H25" s="33"/>
      <c r="I25" s="33"/>
      <c r="J25" s="33"/>
      <c r="K25" s="33"/>
      <c r="L25" s="33"/>
      <c r="M25" s="33"/>
      <c r="N25" s="71"/>
      <c r="R25" s="2"/>
      <c r="S25" s="2"/>
      <c r="T25" s="2"/>
      <c r="U25" s="2"/>
    </row>
    <row r="26" spans="8:8" ht="24.0">
      <c r="A26" s="35" t="s">
        <v>511</v>
      </c>
      <c r="B26" s="31" t="s">
        <v>26</v>
      </c>
      <c r="C26" s="32">
        <f>25*9000</f>
        <v>225000.0</v>
      </c>
      <c r="D26" s="32">
        <f>C26/10</f>
        <v>22500.0</v>
      </c>
      <c r="E26" s="32">
        <f>D26/4</f>
        <v>5625.0</v>
      </c>
      <c r="F26" s="33"/>
      <c r="G26" s="33"/>
      <c r="H26" s="33"/>
      <c r="I26" s="33"/>
      <c r="J26" s="33"/>
      <c r="K26" s="33"/>
      <c r="L26" s="33"/>
      <c r="M26" s="33"/>
      <c r="N26" s="71"/>
      <c r="R26" s="2"/>
      <c r="S26" s="2"/>
      <c r="T26" s="2"/>
      <c r="U26" s="2"/>
    </row>
    <row r="27" spans="8:8">
      <c r="A27" s="35" t="s">
        <v>40</v>
      </c>
      <c r="B27" s="31" t="s">
        <v>110</v>
      </c>
      <c r="C27" s="32">
        <v>300.0</v>
      </c>
      <c r="D27" s="32">
        <v>600.0</v>
      </c>
      <c r="E27" s="32">
        <v>900.0</v>
      </c>
      <c r="F27" s="33">
        <v>900.0</v>
      </c>
      <c r="G27" s="33">
        <v>900.0</v>
      </c>
      <c r="H27" s="33">
        <v>900.0</v>
      </c>
      <c r="I27" s="33">
        <v>900.0</v>
      </c>
      <c r="J27" s="33">
        <v>900.0</v>
      </c>
      <c r="K27" s="33">
        <v>900.0</v>
      </c>
      <c r="L27" s="33">
        <v>900.0</v>
      </c>
      <c r="M27" s="33">
        <v>900.0</v>
      </c>
      <c r="N27" s="71"/>
      <c r="R27" s="2"/>
      <c r="S27" s="2"/>
      <c r="T27" s="2"/>
      <c r="U27" s="2"/>
    </row>
    <row r="28" spans="8:8" s="73" ht="12.0" customFormat="1">
      <c r="A28" s="35" t="s">
        <v>485</v>
      </c>
      <c r="B28" s="31" t="s">
        <v>26</v>
      </c>
      <c r="C28" s="32">
        <f>C27*332.75</f>
        <v>99825.0</v>
      </c>
      <c r="D28" s="32">
        <f t="shared" si="5" ref="D28:M28">D27*332.75</f>
        <v>199650.0</v>
      </c>
      <c r="E28" s="32">
        <f t="shared" si="5"/>
        <v>299475.0</v>
      </c>
      <c r="F28" s="32">
        <f>F27*332.75</f>
        <v>299475.0</v>
      </c>
      <c r="G28" s="32">
        <f t="shared" si="5"/>
        <v>299475.0</v>
      </c>
      <c r="H28" s="32">
        <f t="shared" si="5"/>
        <v>299475.0</v>
      </c>
      <c r="I28" s="32">
        <f t="shared" si="5"/>
        <v>299475.0</v>
      </c>
      <c r="J28" s="32">
        <f t="shared" si="5"/>
        <v>299475.0</v>
      </c>
      <c r="K28" s="32">
        <f t="shared" si="5"/>
        <v>299475.0</v>
      </c>
      <c r="L28" s="32">
        <f t="shared" si="5"/>
        <v>299475.0</v>
      </c>
      <c r="M28" s="32">
        <f t="shared" si="5"/>
        <v>299475.0</v>
      </c>
      <c r="N28" s="74"/>
    </row>
    <row r="29" spans="8:8" s="6" ht="12.0" customFormat="1">
      <c r="A29" s="35" t="s">
        <v>134</v>
      </c>
      <c r="B29" s="31" t="s">
        <v>26</v>
      </c>
      <c r="C29" s="32">
        <v>4000.0</v>
      </c>
      <c r="D29" s="32">
        <v>4000.0</v>
      </c>
      <c r="E29" s="32">
        <v>5000.0</v>
      </c>
      <c r="F29" s="33">
        <v>5000.0</v>
      </c>
      <c r="G29" s="33">
        <v>10000.0</v>
      </c>
      <c r="H29" s="33">
        <v>30000.0</v>
      </c>
      <c r="I29" s="33">
        <v>30000.0</v>
      </c>
      <c r="J29" s="33">
        <v>30000.0</v>
      </c>
      <c r="K29" s="33">
        <v>30000.0</v>
      </c>
      <c r="L29" s="33">
        <v>30000.0</v>
      </c>
      <c r="M29" s="33">
        <v>30000.0</v>
      </c>
      <c r="N29" s="71"/>
      <c r="P29" s="7"/>
    </row>
    <row r="30" spans="8:8">
      <c r="A30" s="42" t="s">
        <v>7</v>
      </c>
      <c r="B30" s="28" t="s">
        <v>26</v>
      </c>
      <c r="C30" s="30">
        <f>C24+C25+C26+C28+C29</f>
        <v>395825.0</v>
      </c>
      <c r="D30" s="30">
        <f t="shared" si="6" ref="D30:M30">D24+D25+D26+D28+D29</f>
        <v>226150.0</v>
      </c>
      <c r="E30" s="30">
        <f t="shared" si="6"/>
        <v>310100.0</v>
      </c>
      <c r="F30" s="43">
        <f t="shared" si="6"/>
        <v>304475.0</v>
      </c>
      <c r="G30" s="43">
        <f t="shared" si="6"/>
        <v>309475.0</v>
      </c>
      <c r="H30" s="43">
        <f t="shared" si="6"/>
        <v>329475.0</v>
      </c>
      <c r="I30" s="43">
        <f t="shared" si="6"/>
        <v>329475.0</v>
      </c>
      <c r="J30" s="43">
        <f t="shared" si="6"/>
        <v>329475.0</v>
      </c>
      <c r="K30" s="43">
        <f t="shared" si="6"/>
        <v>329475.0</v>
      </c>
      <c r="L30" s="43">
        <f t="shared" si="6"/>
        <v>329475.0</v>
      </c>
      <c r="M30" s="43">
        <f t="shared" si="6"/>
        <v>329475.0</v>
      </c>
      <c r="N30" s="71"/>
      <c r="P30" s="7"/>
    </row>
    <row r="31" spans="8:8" s="66" ht="12.0" customFormat="1">
      <c r="A31" s="44" t="s">
        <v>27</v>
      </c>
      <c r="B31" s="45" t="s">
        <v>26</v>
      </c>
      <c r="C31" s="46">
        <f>C30+C21</f>
        <v>1085825.0</v>
      </c>
      <c r="D31" s="46">
        <f t="shared" si="7" ref="D31:M31">D30+D21</f>
        <v>469900.0</v>
      </c>
      <c r="E31" s="46">
        <f t="shared" si="7"/>
        <v>576500.0</v>
      </c>
      <c r="F31" s="46">
        <f t="shared" si="7"/>
        <v>583850.0</v>
      </c>
      <c r="G31" s="46">
        <f t="shared" si="7"/>
        <v>622840.0</v>
      </c>
      <c r="H31" s="46">
        <f t="shared" si="7"/>
        <v>645506.25</v>
      </c>
      <c r="I31" s="46">
        <f t="shared" si="7"/>
        <v>645506.25</v>
      </c>
      <c r="J31" s="46">
        <f t="shared" si="7"/>
        <v>657397.5</v>
      </c>
      <c r="K31" s="46">
        <f t="shared" si="7"/>
        <v>657397.5</v>
      </c>
      <c r="L31" s="46">
        <f t="shared" si="7"/>
        <v>674962.5</v>
      </c>
      <c r="M31" s="46">
        <f t="shared" si="7"/>
        <v>680100.0</v>
      </c>
      <c r="N31" s="71"/>
      <c r="O31" s="75"/>
      <c r="S31" s="76"/>
      <c r="T31" s="76"/>
      <c r="U31" s="76"/>
    </row>
    <row r="32" spans="8:8">
      <c r="A32" s="42"/>
      <c r="B32" s="28"/>
      <c r="C32" s="30"/>
      <c r="D32" s="30"/>
      <c r="E32" s="30"/>
      <c r="F32" s="50"/>
      <c r="G32" s="50"/>
      <c r="H32" s="50"/>
      <c r="I32" s="50"/>
      <c r="J32" s="33"/>
      <c r="K32" s="33"/>
      <c r="L32" s="33"/>
      <c r="M32" s="33"/>
      <c r="R32" s="2"/>
      <c r="S32" s="2"/>
      <c r="T32" s="2"/>
      <c r="U32" s="2"/>
    </row>
    <row r="33" spans="8:8" ht="10.5" customHeight="1">
      <c r="A33" s="42" t="s">
        <v>124</v>
      </c>
      <c r="B33" s="31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71"/>
      <c r="O33" s="49"/>
      <c r="R33" s="2"/>
      <c r="S33" s="2"/>
      <c r="T33" s="2"/>
      <c r="U33" s="2"/>
    </row>
    <row r="34" spans="8:8" customHeight="1">
      <c r="A34" s="35" t="s">
        <v>111</v>
      </c>
      <c r="B34" s="31"/>
      <c r="C34" s="32"/>
      <c r="D34" s="32"/>
      <c r="E34" s="32">
        <v>0.04</v>
      </c>
      <c r="F34" s="33">
        <v>0.05</v>
      </c>
      <c r="G34" s="33">
        <v>0.11</v>
      </c>
      <c r="H34" s="33">
        <v>0.125</v>
      </c>
      <c r="I34" s="33">
        <v>0.125</v>
      </c>
      <c r="J34" s="33">
        <v>0.13</v>
      </c>
      <c r="K34" s="33">
        <v>0.13</v>
      </c>
      <c r="L34" s="33">
        <v>0.15</v>
      </c>
      <c r="M34" s="33">
        <v>0.15</v>
      </c>
      <c r="R34" s="2"/>
      <c r="S34" s="2"/>
      <c r="T34" s="2"/>
      <c r="U34" s="2"/>
    </row>
    <row r="35" spans="8:8" ht="23.25" customHeight="1">
      <c r="A35" s="35" t="s">
        <v>133</v>
      </c>
      <c r="B35" s="31"/>
      <c r="C35" s="32"/>
      <c r="D35" s="32"/>
      <c r="E35" s="32">
        <v>6500.0</v>
      </c>
      <c r="F35" s="33">
        <v>7500.0</v>
      </c>
      <c r="G35" s="33">
        <v>8100.0</v>
      </c>
      <c r="H35" s="33">
        <v>8550.0</v>
      </c>
      <c r="I35" s="33">
        <v>8550.0</v>
      </c>
      <c r="J35" s="33">
        <v>8550.0</v>
      </c>
      <c r="K35" s="33">
        <v>8550.0</v>
      </c>
      <c r="L35" s="33">
        <v>8550.0</v>
      </c>
      <c r="M35" s="33">
        <v>7500.0</v>
      </c>
      <c r="R35" s="2"/>
      <c r="S35" s="2"/>
      <c r="T35" s="2"/>
      <c r="U35" s="2"/>
      <c r="X35" s="6"/>
      <c r="Y35" s="6"/>
      <c r="Z35" s="6"/>
      <c r="AA35" s="6"/>
    </row>
    <row r="36" spans="8:8" ht="12.0" customHeight="1">
      <c r="A36" s="31" t="s">
        <v>0</v>
      </c>
      <c r="B36" s="31" t="s">
        <v>41</v>
      </c>
      <c r="C36" s="32"/>
      <c r="D36" s="32"/>
      <c r="E36" s="32">
        <f>E35*E34</f>
        <v>260.0</v>
      </c>
      <c r="F36" s="33">
        <f t="shared" si="8" ref="F36:M36">F35*F34</f>
        <v>375.0</v>
      </c>
      <c r="G36" s="33">
        <f t="shared" si="8"/>
        <v>891.0</v>
      </c>
      <c r="H36" s="33">
        <f t="shared" si="8"/>
        <v>1068.75</v>
      </c>
      <c r="I36" s="33">
        <f t="shared" si="8"/>
        <v>1068.75</v>
      </c>
      <c r="J36" s="33">
        <f t="shared" si="8"/>
        <v>1111.5</v>
      </c>
      <c r="K36" s="33">
        <f t="shared" si="8"/>
        <v>1111.5</v>
      </c>
      <c r="L36" s="33">
        <f t="shared" si="8"/>
        <v>1282.5</v>
      </c>
      <c r="M36" s="33">
        <f t="shared" si="8"/>
        <v>1125.0</v>
      </c>
      <c r="N36" s="71"/>
      <c r="O36" s="77"/>
      <c r="R36" s="2"/>
      <c r="S36" s="2"/>
      <c r="T36" s="2"/>
      <c r="U36" s="2"/>
    </row>
    <row r="37" spans="8:8" ht="12.0" customHeight="1">
      <c r="A37" s="35" t="s">
        <v>394</v>
      </c>
      <c r="B37" s="31" t="s">
        <v>41</v>
      </c>
      <c r="C37" s="32"/>
      <c r="D37" s="32"/>
      <c r="E37" s="32">
        <f t="shared" si="9" ref="E37:M37">E36/2</f>
        <v>130.0</v>
      </c>
      <c r="F37" s="78">
        <f t="shared" si="9"/>
        <v>187.5</v>
      </c>
      <c r="G37" s="78">
        <f t="shared" si="9"/>
        <v>445.5</v>
      </c>
      <c r="H37" s="78">
        <f t="shared" si="9"/>
        <v>534.375</v>
      </c>
      <c r="I37" s="78">
        <f t="shared" si="9"/>
        <v>534.375</v>
      </c>
      <c r="J37" s="78">
        <f t="shared" si="9"/>
        <v>555.75</v>
      </c>
      <c r="K37" s="78">
        <f t="shared" si="9"/>
        <v>555.75</v>
      </c>
      <c r="L37" s="78">
        <f t="shared" si="9"/>
        <v>641.25</v>
      </c>
      <c r="M37" s="78">
        <f t="shared" si="9"/>
        <v>562.5</v>
      </c>
      <c r="N37" s="79"/>
      <c r="R37" s="2"/>
      <c r="S37" s="2"/>
      <c r="T37" s="2"/>
      <c r="U37" s="2"/>
    </row>
    <row r="38" spans="8:8" s="6" ht="12.0" customFormat="1">
      <c r="A38" s="35" t="s">
        <v>115</v>
      </c>
      <c r="B38" s="31" t="s">
        <v>41</v>
      </c>
      <c r="C38" s="32"/>
      <c r="D38" s="32"/>
      <c r="E38" s="32">
        <f>E36-E37</f>
        <v>130.0</v>
      </c>
      <c r="F38" s="33">
        <f t="shared" si="10" ref="F38:M38">F36-F37</f>
        <v>187.5</v>
      </c>
      <c r="G38" s="33">
        <f t="shared" si="10"/>
        <v>445.5</v>
      </c>
      <c r="H38" s="33">
        <f t="shared" si="10"/>
        <v>534.375</v>
      </c>
      <c r="I38" s="33">
        <f t="shared" si="10"/>
        <v>534.375</v>
      </c>
      <c r="J38" s="33">
        <f t="shared" si="10"/>
        <v>555.75</v>
      </c>
      <c r="K38" s="33">
        <f t="shared" si="10"/>
        <v>555.75</v>
      </c>
      <c r="L38" s="33">
        <f t="shared" si="10"/>
        <v>641.25</v>
      </c>
      <c r="M38" s="33">
        <f t="shared" si="10"/>
        <v>562.5</v>
      </c>
      <c r="N38" s="70"/>
      <c r="O38" s="1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</row>
    <row r="39" spans="8:8" ht="38.25" customHeight="1">
      <c r="A39" s="35" t="s">
        <v>494</v>
      </c>
      <c r="B39" s="31" t="s">
        <v>26</v>
      </c>
      <c r="C39" s="32"/>
      <c r="D39" s="32"/>
      <c r="E39" s="32">
        <f>E38*3351.57</f>
        <v>435704.10000000003</v>
      </c>
      <c r="F39" s="32">
        <f t="shared" si="11" ref="F39:M39">F38*3351.57</f>
        <v>628419.375</v>
      </c>
      <c r="G39" s="32">
        <f t="shared" si="11"/>
        <v>1493124.435</v>
      </c>
      <c r="H39" s="32">
        <f t="shared" si="11"/>
        <v>1790995.21875</v>
      </c>
      <c r="I39" s="32">
        <f t="shared" si="11"/>
        <v>1790995.21875</v>
      </c>
      <c r="J39" s="32">
        <f t="shared" si="11"/>
        <v>1862635.0275</v>
      </c>
      <c r="K39" s="32">
        <f t="shared" si="11"/>
        <v>1862635.0275</v>
      </c>
      <c r="L39" s="32">
        <f t="shared" si="11"/>
        <v>2149194.2625</v>
      </c>
      <c r="M39" s="32">
        <f t="shared" si="11"/>
        <v>1885258.125</v>
      </c>
      <c r="N39" s="80"/>
      <c r="O39" s="49"/>
      <c r="Q39" s="2"/>
      <c r="R39" s="2"/>
      <c r="S39" s="2"/>
      <c r="T39" s="2"/>
      <c r="AA39" s="18"/>
    </row>
    <row r="40" spans="8:8" ht="24.0" customHeight="1">
      <c r="A40" s="35" t="s">
        <v>136</v>
      </c>
      <c r="B40" s="31" t="s">
        <v>26</v>
      </c>
      <c r="C40" s="32"/>
      <c r="D40" s="32"/>
      <c r="E40" s="32"/>
      <c r="F40" s="33"/>
      <c r="G40" s="33">
        <f>G35*2*5</f>
        <v>81000.0</v>
      </c>
      <c r="H40" s="33">
        <f t="shared" si="12" ref="H40:M40">H35*2*5</f>
        <v>85500.0</v>
      </c>
      <c r="I40" s="33">
        <f t="shared" si="12"/>
        <v>85500.0</v>
      </c>
      <c r="J40" s="33">
        <f t="shared" si="12"/>
        <v>85500.0</v>
      </c>
      <c r="K40" s="33">
        <f t="shared" si="12"/>
        <v>85500.0</v>
      </c>
      <c r="L40" s="33">
        <f t="shared" si="12"/>
        <v>85500.0</v>
      </c>
      <c r="M40" s="33">
        <f t="shared" si="12"/>
        <v>75000.0</v>
      </c>
      <c r="R40" s="2"/>
      <c r="S40" s="2"/>
      <c r="T40" s="2"/>
      <c r="U40" s="2"/>
    </row>
    <row r="41" spans="8:8">
      <c r="A41" s="52" t="s">
        <v>98</v>
      </c>
      <c r="B41" s="53" t="s">
        <v>26</v>
      </c>
      <c r="C41" s="54"/>
      <c r="D41" s="54"/>
      <c r="E41" s="54">
        <f>E40+E39</f>
        <v>435704.1</v>
      </c>
      <c r="F41" s="81">
        <f t="shared" si="13" ref="F41:M41">F40+F39</f>
        <v>628419.375</v>
      </c>
      <c r="G41" s="81">
        <f t="shared" si="13"/>
        <v>1574124.435</v>
      </c>
      <c r="H41" s="81">
        <f t="shared" si="13"/>
        <v>1876495.21875</v>
      </c>
      <c r="I41" s="81">
        <f t="shared" si="13"/>
        <v>1876495.21875</v>
      </c>
      <c r="J41" s="81">
        <f t="shared" si="13"/>
        <v>1948135.0275</v>
      </c>
      <c r="K41" s="81">
        <f t="shared" si="13"/>
        <v>1948135.0275</v>
      </c>
      <c r="L41" s="81">
        <f t="shared" si="13"/>
        <v>2234694.2625</v>
      </c>
      <c r="M41" s="81">
        <f t="shared" si="13"/>
        <v>1960258.125</v>
      </c>
      <c r="R41" s="2"/>
      <c r="S41" s="2"/>
      <c r="T41" s="2"/>
      <c r="U41" s="2"/>
      <c r="V41" s="7"/>
      <c r="W41" s="7"/>
    </row>
    <row r="42" spans="8:8">
      <c r="A42" s="44" t="s">
        <v>395</v>
      </c>
      <c r="B42" s="82" t="s">
        <v>26</v>
      </c>
      <c r="C42" s="83">
        <f>C41-C31</f>
        <v>-1085825.0</v>
      </c>
      <c r="D42" s="83">
        <f t="shared" si="14" ref="D42:M42">D41-D31</f>
        <v>-469900.0</v>
      </c>
      <c r="E42" s="83">
        <f t="shared" si="14"/>
        <v>-140795.90000000002</v>
      </c>
      <c r="F42" s="83">
        <f t="shared" si="14"/>
        <v>44569.375</v>
      </c>
      <c r="G42" s="83">
        <f t="shared" si="14"/>
        <v>951284.435</v>
      </c>
      <c r="H42" s="83">
        <f t="shared" si="14"/>
        <v>1230988.96875</v>
      </c>
      <c r="I42" s="83">
        <f>I41-I31</f>
        <v>1230988.96875</v>
      </c>
      <c r="J42" s="83">
        <f>J41-J31</f>
        <v>1290737.5275</v>
      </c>
      <c r="K42" s="83">
        <f t="shared" si="14"/>
        <v>1290737.5275</v>
      </c>
      <c r="L42" s="83">
        <f t="shared" si="14"/>
        <v>1559731.7625000002</v>
      </c>
      <c r="M42" s="83">
        <f t="shared" si="14"/>
        <v>1280158.125</v>
      </c>
      <c r="O42" s="49"/>
    </row>
    <row r="43" spans="8:8">
      <c r="A43" s="84" t="s">
        <v>59</v>
      </c>
      <c r="B43" s="84"/>
      <c r="C43" s="60"/>
      <c r="D43" s="60"/>
      <c r="E43" s="60"/>
      <c r="F43" s="60"/>
      <c r="G43" s="60"/>
      <c r="H43" s="60"/>
      <c r="I43" s="60"/>
      <c r="J43" s="60">
        <f>(J31+(J37*1769))/J36</f>
        <v>1475.950742240216</v>
      </c>
      <c r="K43" s="60">
        <f>(K31+(K37*1769))/K36</f>
        <v>1475.950742240216</v>
      </c>
      <c r="L43" s="60">
        <f>(L31+(L37*1769))/L36</f>
        <v>1410.7865497076023</v>
      </c>
      <c r="M43" s="60"/>
    </row>
    <row r="44" spans="8:8"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</row>
    <row r="45" spans="8:8"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8:8">
      <c r="E46" s="85"/>
      <c r="F46" s="68" t="s">
        <v>492</v>
      </c>
      <c r="G46" s="68"/>
      <c r="J46" s="86"/>
      <c r="K46" s="86"/>
      <c r="L46" s="86"/>
    </row>
    <row r="47" spans="8:8">
      <c r="E47" s="87"/>
      <c r="J47" s="86"/>
      <c r="K47" s="86"/>
      <c r="L47" s="86"/>
    </row>
    <row r="48" spans="8:8">
      <c r="A48" s="1" t="s">
        <v>60</v>
      </c>
      <c r="B48" s="88" t="s">
        <v>99</v>
      </c>
      <c r="E48" s="87"/>
      <c r="I48" s="1"/>
      <c r="J48" s="1"/>
      <c r="K48" s="1"/>
    </row>
    <row r="49" spans="8:8">
      <c r="A49" s="1" t="s">
        <v>78</v>
      </c>
      <c r="E49" s="87"/>
      <c r="T49" s="18"/>
      <c r="U49" s="18"/>
      <c r="V49" s="18"/>
      <c r="W49" s="18"/>
    </row>
    <row r="50" spans="8:8">
      <c r="A50" s="1" t="s">
        <v>84</v>
      </c>
      <c r="E50" s="87"/>
      <c r="M50" s="2" t="s">
        <v>103</v>
      </c>
    </row>
    <row r="51" spans="8:8">
      <c r="E51" s="87"/>
    </row>
    <row r="52" spans="8:8" ht="14.25" customHeight="1">
      <c r="G52" s="3"/>
      <c r="H52" s="3"/>
    </row>
    <row r="53" spans="8:8">
      <c r="A53" s="7" t="s">
        <v>97</v>
      </c>
      <c r="M53" s="1"/>
      <c r="N53" s="80"/>
    </row>
    <row r="54" spans="8:8">
      <c r="A54" s="36" t="s">
        <v>132</v>
      </c>
      <c r="B54" s="17"/>
      <c r="G54" s="61"/>
      <c r="M54" s="1"/>
      <c r="N54" s="80"/>
    </row>
    <row r="55" spans="8:8">
      <c r="A55" s="66" t="s">
        <v>407</v>
      </c>
      <c r="B55" s="61"/>
      <c r="G55" s="61"/>
      <c r="M55" s="1"/>
      <c r="N55" s="80"/>
    </row>
    <row r="56" spans="8:8">
      <c r="A56" s="66" t="s">
        <v>441</v>
      </c>
      <c r="D56" s="61"/>
      <c r="M56" s="1"/>
      <c r="N56" s="80"/>
    </row>
    <row r="57" spans="8:8">
      <c r="A57" s="1" t="s">
        <v>120</v>
      </c>
      <c r="M57" s="1"/>
      <c r="N57" s="80"/>
    </row>
    <row r="58" spans="8:8">
      <c r="A58" s="66" t="s">
        <v>442</v>
      </c>
      <c r="M58" s="1"/>
      <c r="N58" s="80"/>
    </row>
    <row r="59" spans="8:8">
      <c r="A59" s="66" t="s">
        <v>460</v>
      </c>
      <c r="M59" s="1"/>
      <c r="N59" s="80"/>
    </row>
    <row r="60" spans="8:8">
      <c r="A60" s="66" t="s">
        <v>443</v>
      </c>
      <c r="M60" s="1"/>
      <c r="N60" s="80"/>
    </row>
    <row r="61" spans="8:8" ht="18.0" customHeight="1">
      <c r="A61" s="1" t="s">
        <v>121</v>
      </c>
      <c r="M61" s="1"/>
      <c r="N61" s="80"/>
    </row>
    <row r="62" spans="8:8" ht="15.75" customHeight="1">
      <c r="A62" s="5" t="s">
        <v>170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1"/>
      <c r="N62" s="80"/>
    </row>
    <row r="63" spans="8:8" ht="15.75" customHeight="1">
      <c r="M63" s="1"/>
      <c r="N63" s="80"/>
    </row>
    <row r="64" spans="8:8">
      <c r="M64" s="1"/>
      <c r="N64" s="80"/>
    </row>
    <row r="65" spans="8:8">
      <c r="M65" s="1"/>
      <c r="N65" s="80"/>
    </row>
    <row r="66" spans="8:8">
      <c r="E66" s="87"/>
      <c r="F66" s="87"/>
      <c r="G66" s="87"/>
      <c r="H66" s="87"/>
      <c r="I66" s="87"/>
      <c r="J66" s="87"/>
      <c r="K66" s="87"/>
      <c r="L66" s="87"/>
      <c r="M66" s="1"/>
      <c r="N66" s="80"/>
    </row>
    <row r="67" spans="8:8">
      <c r="M67" s="1"/>
      <c r="N67" s="80"/>
    </row>
    <row r="68" spans="8:8">
      <c r="M68" s="1"/>
      <c r="N68" s="80"/>
    </row>
    <row r="69" spans="8:8">
      <c r="B69" s="18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1"/>
      <c r="N69" s="80"/>
    </row>
    <row r="70" spans="8:8">
      <c r="B70" s="18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1"/>
      <c r="N70" s="80"/>
    </row>
    <row r="71" spans="8:8">
      <c r="B71" s="18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1"/>
      <c r="N71" s="80"/>
    </row>
    <row r="72" spans="8:8">
      <c r="B72" s="18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1"/>
      <c r="N72" s="80"/>
    </row>
    <row r="73" spans="8:8">
      <c r="B73" s="18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1"/>
      <c r="N73" s="80"/>
    </row>
    <row r="74" spans="8:8">
      <c r="A74" s="17"/>
      <c r="B74" s="18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1"/>
      <c r="N74" s="80"/>
    </row>
    <row r="75" spans="8:8">
      <c r="M75" s="1"/>
      <c r="N75" s="80"/>
    </row>
    <row r="76" spans="8:8" ht="24.0" customHeight="1">
      <c r="M76" s="1"/>
      <c r="N76" s="80"/>
    </row>
    <row r="77" spans="8:8" ht="28.5" customHeight="1">
      <c r="M77" s="1"/>
      <c r="N77" s="80"/>
    </row>
    <row r="78" spans="8:8" ht="13.5" customHeight="1">
      <c r="M78" s="1"/>
      <c r="N78" s="80"/>
    </row>
    <row r="79" spans="8:8" ht="13.5" customHeight="1">
      <c r="M79" s="1"/>
      <c r="N79" s="80"/>
    </row>
    <row r="80" spans="8:8">
      <c r="M80" s="1"/>
      <c r="N80" s="80"/>
    </row>
    <row r="81" spans="8:8">
      <c r="M81" s="1"/>
      <c r="N81" s="80"/>
    </row>
    <row r="82" spans="8:8">
      <c r="M82" s="1"/>
      <c r="N82" s="80"/>
    </row>
    <row r="83" spans="8:8">
      <c r="M83" s="1"/>
      <c r="N83" s="80"/>
    </row>
    <row r="84" spans="8:8" ht="14.25" customHeight="1">
      <c r="M84" s="1"/>
      <c r="N84" s="80"/>
    </row>
    <row r="85" spans="8:8" ht="14.25" customHeight="1">
      <c r="M85" s="1"/>
      <c r="N85" s="80"/>
    </row>
    <row r="86" spans="8:8" ht="25.5" customHeight="1">
      <c r="M86" s="1"/>
      <c r="N86" s="80"/>
    </row>
    <row r="87" spans="8:8" ht="14.25" customHeight="1">
      <c r="M87" s="1"/>
      <c r="N87" s="80"/>
    </row>
    <row r="88" spans="8:8" ht="14.25" customHeight="1">
      <c r="M88" s="1"/>
      <c r="N88" s="80"/>
    </row>
    <row r="89" spans="8:8">
      <c r="M89" s="1"/>
      <c r="N89" s="80"/>
    </row>
    <row r="90" spans="8:8">
      <c r="M90" s="1"/>
      <c r="N90" s="80"/>
    </row>
    <row r="91" spans="8:8">
      <c r="M91" s="1"/>
      <c r="N91" s="80"/>
    </row>
    <row r="92" spans="8:8">
      <c r="M92" s="1"/>
      <c r="N92" s="80"/>
    </row>
    <row r="93" spans="8:8">
      <c r="M93" s="1"/>
      <c r="N93" s="80"/>
    </row>
    <row r="94" spans="8:8">
      <c r="M94" s="1"/>
      <c r="N94" s="80"/>
    </row>
    <row r="95" spans="8:8">
      <c r="M95" s="1"/>
      <c r="N95" s="80"/>
    </row>
    <row r="96" spans="8:8">
      <c r="M96" s="1"/>
      <c r="N96" s="80"/>
    </row>
    <row r="97" spans="8:8" ht="13.5" customHeight="1">
      <c r="M97" s="1"/>
      <c r="N97" s="80"/>
    </row>
    <row r="98" spans="8:8" ht="13.5" customHeight="1"/>
    <row r="99" spans="8:8" ht="13.5" customHeight="1"/>
    <row r="100" spans="8:8" ht="13.5" customHeight="1"/>
    <row r="103" spans="8:8">
      <c r="M103" s="67"/>
      <c r="N103" s="89"/>
    </row>
    <row r="106" spans="8:8" s="5" customForma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N106" s="90"/>
    </row>
    <row r="110" spans="8:8">
      <c r="M110" s="87"/>
    </row>
    <row r="113" spans="8:8" s="18" customForma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67"/>
      <c r="N113" s="89"/>
    </row>
    <row r="114" spans="8:8" s="18" customForma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67"/>
      <c r="N114" s="89"/>
    </row>
    <row r="115" spans="8:8" s="18" customForma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67"/>
      <c r="N115" s="89"/>
    </row>
    <row r="116" spans="8:8" s="18" customForma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67"/>
      <c r="N116" s="89"/>
    </row>
    <row r="117" spans="8:8" s="18" customForma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67"/>
      <c r="N117" s="89"/>
    </row>
    <row r="118" spans="8:8" s="18" customForma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67"/>
      <c r="N118" s="89"/>
    </row>
  </sheetData>
  <pageMargins left="0.7086614173228347" right="0.7086614173228347" top="0.7480314960629921" bottom="0.7480314960629921" header="0.31496062992125984" footer="0.31496062992125984"/>
  <pageSetup paperSize="9" scale="78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S63"/>
  <sheetViews>
    <sheetView workbookViewId="0" zoomScale="94">
      <selection activeCell="C1" sqref="C1"/>
    </sheetView>
  </sheetViews>
  <sheetFormatPr defaultRowHeight="12.75" defaultColWidth="9"/>
  <cols>
    <col min="1" max="1" customWidth="1" width="30.425781" style="66"/>
    <col min="2" max="2" customWidth="1" width="7.7109375" style="91"/>
    <col min="3" max="3" customWidth="1" width="12.285156" style="91"/>
    <col min="4" max="4" customWidth="1" width="11.0" style="91"/>
    <col min="5" max="5" customWidth="1" width="14.7109375" style="91"/>
    <col min="6" max="6" customWidth="1" width="11.0" style="91"/>
    <col min="7" max="7" customWidth="1" width="11.5703125" style="91"/>
    <col min="8" max="8" customWidth="1" width="12.425781" style="91"/>
    <col min="9" max="9" customWidth="1" width="12.0" style="91"/>
    <col min="10" max="10" customWidth="1" width="13.140625" style="91"/>
    <col min="11" max="11" customWidth="1" width="12.7109375" style="91"/>
    <col min="12" max="12" customWidth="1" width="12.285156" style="91"/>
    <col min="13" max="13" customWidth="1" width="11.0" style="91"/>
    <col min="14" max="14" customWidth="1" width="12.5703125" style="91"/>
    <col min="15" max="15" customWidth="1" width="13.0" style="91"/>
    <col min="16" max="16" customWidth="1" width="11.0" style="68"/>
    <col min="17" max="17" customWidth="1" width="16.425781" style="66"/>
    <col min="18" max="18" customWidth="1" width="13.7109375" style="66"/>
    <col min="19" max="19" customWidth="1" width="12.5703125" style="66"/>
    <col min="20" max="20" customWidth="1" width="8.285156" style="66"/>
    <col min="21" max="22" customWidth="1" width="11.285156" style="76"/>
    <col min="23" max="27" customWidth="0" width="9.285156" style="76"/>
    <col min="28" max="32" customWidth="0" width="9.285156" style="66"/>
    <col min="33" max="33" customWidth="1" width="15.7109375" style="66"/>
    <col min="34" max="42" customWidth="0" width="9.285156" style="66"/>
    <col min="43" max="44" customWidth="1" width="8.855469" style="0"/>
    <col min="45" max="16384" customWidth="0" width="9.285156" style="66"/>
  </cols>
  <sheetData>
    <row r="1" spans="8:8">
      <c r="A1" s="23"/>
      <c r="B1" s="92"/>
      <c r="C1" s="93" t="s">
        <v>519</v>
      </c>
      <c r="D1" s="92"/>
      <c r="E1" s="92"/>
      <c r="F1" s="92"/>
      <c r="G1" s="92"/>
      <c r="H1" s="93"/>
      <c r="I1" s="92"/>
      <c r="J1" s="92"/>
      <c r="K1" s="94"/>
      <c r="L1" s="94"/>
      <c r="M1" s="94"/>
      <c r="N1" s="94"/>
      <c r="O1" s="94"/>
      <c r="P1" s="69"/>
    </row>
    <row r="2" spans="8:8" s="36" ht="12.0" customFormat="1">
      <c r="A2" s="95"/>
      <c r="B2" s="94" t="s">
        <v>2</v>
      </c>
      <c r="C2" s="94" t="s">
        <v>70</v>
      </c>
      <c r="D2" s="94" t="s">
        <v>71</v>
      </c>
      <c r="E2" s="94" t="s">
        <v>72</v>
      </c>
      <c r="F2" s="94" t="s">
        <v>66</v>
      </c>
      <c r="G2" s="94" t="s">
        <v>73</v>
      </c>
      <c r="H2" s="94" t="s">
        <v>74</v>
      </c>
      <c r="I2" s="94" t="s">
        <v>75</v>
      </c>
      <c r="J2" s="94" t="s">
        <v>76</v>
      </c>
      <c r="K2" s="94" t="s">
        <v>148</v>
      </c>
      <c r="L2" s="94">
        <v>16.0</v>
      </c>
      <c r="M2" s="94">
        <v>17.0</v>
      </c>
      <c r="N2" s="94">
        <v>18.0</v>
      </c>
      <c r="O2" s="94" t="s">
        <v>149</v>
      </c>
      <c r="P2" s="69"/>
      <c r="U2" s="96"/>
      <c r="V2" s="96"/>
      <c r="W2" s="96"/>
      <c r="X2" s="96"/>
      <c r="Y2" s="96"/>
      <c r="Z2" s="96"/>
      <c r="AA2" s="96"/>
    </row>
    <row r="3" spans="8:8">
      <c r="A3" s="95" t="s">
        <v>22</v>
      </c>
      <c r="B3" s="92"/>
      <c r="C3" s="92"/>
      <c r="D3" s="92"/>
      <c r="E3" s="94"/>
      <c r="F3" s="94"/>
      <c r="G3" s="94"/>
      <c r="H3" s="94"/>
      <c r="I3" s="94"/>
      <c r="J3" s="94"/>
      <c r="K3" s="94"/>
      <c r="L3" s="92"/>
      <c r="M3" s="92"/>
      <c r="N3" s="92"/>
      <c r="O3" s="97"/>
      <c r="U3" s="96"/>
      <c r="AG3" s="98"/>
      <c r="AH3" s="8"/>
      <c r="AI3" s="36"/>
      <c r="AJ3" s="36"/>
      <c r="AK3" s="36"/>
      <c r="AL3" s="36"/>
      <c r="AM3" s="36"/>
      <c r="AN3" s="36"/>
      <c r="AO3" s="36"/>
      <c r="AP3" s="8"/>
    </row>
    <row r="4" spans="8:8">
      <c r="A4" s="95" t="s">
        <v>96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8:8" ht="24.0" customHeight="1">
      <c r="A5" s="99" t="s">
        <v>3</v>
      </c>
      <c r="B5" s="92" t="s">
        <v>150</v>
      </c>
      <c r="C5" s="24">
        <v>20.0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8:8" ht="12.0">
      <c r="A6" s="23" t="s">
        <v>131</v>
      </c>
      <c r="B6" s="92" t="s">
        <v>150</v>
      </c>
      <c r="C6" s="24">
        <v>30.0</v>
      </c>
      <c r="D6" s="24">
        <v>15.0</v>
      </c>
      <c r="E6" s="24">
        <v>15.0</v>
      </c>
      <c r="F6" s="24">
        <v>15.0</v>
      </c>
      <c r="G6" s="24">
        <v>15.0</v>
      </c>
      <c r="H6" s="24">
        <v>15.0</v>
      </c>
      <c r="I6" s="24">
        <v>15.0</v>
      </c>
      <c r="J6" s="24">
        <v>15.0</v>
      </c>
      <c r="K6" s="24">
        <v>15.0</v>
      </c>
      <c r="L6" s="24">
        <v>15.0</v>
      </c>
      <c r="M6" s="24">
        <v>15.0</v>
      </c>
      <c r="N6" s="24">
        <v>15.0</v>
      </c>
      <c r="O6" s="24">
        <v>15.0</v>
      </c>
      <c r="AQ6" s="66"/>
      <c r="AR6" s="66"/>
    </row>
    <row r="7" spans="8:8">
      <c r="A7" s="23" t="s">
        <v>151</v>
      </c>
      <c r="B7" s="92" t="s">
        <v>150</v>
      </c>
      <c r="C7" s="24">
        <v>10.0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8:8">
      <c r="A8" s="23" t="s">
        <v>33</v>
      </c>
      <c r="B8" s="92" t="s">
        <v>150</v>
      </c>
      <c r="C8" s="24">
        <v>67.0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36"/>
      <c r="R8" s="36"/>
      <c r="S8" s="36"/>
    </row>
    <row r="9" spans="8:8" customHeight="1">
      <c r="A9" s="99" t="s">
        <v>152</v>
      </c>
      <c r="B9" s="92" t="s">
        <v>150</v>
      </c>
      <c r="C9" s="24">
        <v>16.0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Q9" s="36"/>
      <c r="R9" s="36"/>
      <c r="S9" s="36"/>
    </row>
    <row r="10" spans="8:8">
      <c r="A10" s="99" t="s">
        <v>153</v>
      </c>
      <c r="B10" s="92" t="s">
        <v>150</v>
      </c>
      <c r="C10" s="24">
        <v>12.0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Q10" s="36"/>
      <c r="R10" s="36"/>
      <c r="S10" s="36"/>
    </row>
    <row r="11" spans="8:8" ht="14.25" customHeight="1">
      <c r="A11" s="99" t="s">
        <v>154</v>
      </c>
      <c r="B11" s="92" t="s">
        <v>150</v>
      </c>
      <c r="C11" s="24">
        <v>8.0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Q11" s="36"/>
      <c r="R11" s="36"/>
      <c r="S11" s="36"/>
    </row>
    <row r="12" spans="8:8">
      <c r="A12" s="23" t="s">
        <v>42</v>
      </c>
      <c r="B12" s="92" t="s">
        <v>150</v>
      </c>
      <c r="C12" s="24">
        <v>9.0</v>
      </c>
      <c r="D12" s="24">
        <v>4.0</v>
      </c>
      <c r="E12" s="24">
        <v>1.0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U12" s="96"/>
      <c r="V12" s="96"/>
      <c r="W12" s="96"/>
      <c r="X12" s="96"/>
      <c r="Y12" s="96"/>
      <c r="Z12" s="96"/>
      <c r="AA12" s="96"/>
    </row>
    <row r="13" spans="8:8">
      <c r="A13" s="23" t="s">
        <v>155</v>
      </c>
      <c r="B13" s="92" t="s">
        <v>150</v>
      </c>
      <c r="C13" s="24">
        <v>20.0</v>
      </c>
      <c r="D13" s="24">
        <v>20.0</v>
      </c>
      <c r="E13" s="24">
        <v>15.0</v>
      </c>
      <c r="F13" s="24">
        <v>15.0</v>
      </c>
      <c r="G13" s="24">
        <v>15.0</v>
      </c>
      <c r="H13" s="24">
        <v>15.0</v>
      </c>
      <c r="I13" s="24">
        <v>15.0</v>
      </c>
      <c r="J13" s="24">
        <v>15.0</v>
      </c>
      <c r="K13" s="24">
        <v>15.0</v>
      </c>
      <c r="L13" s="24">
        <v>15.0</v>
      </c>
      <c r="M13" s="24">
        <v>15.0</v>
      </c>
      <c r="N13" s="24">
        <v>15.0</v>
      </c>
      <c r="O13" s="24">
        <v>15.0</v>
      </c>
      <c r="Q13" s="36"/>
      <c r="R13" s="36"/>
      <c r="S13" s="36"/>
    </row>
    <row r="14" spans="8:8" ht="24.0">
      <c r="A14" s="99" t="s">
        <v>156</v>
      </c>
      <c r="B14" s="92" t="s">
        <v>150</v>
      </c>
      <c r="C14" s="24"/>
      <c r="D14" s="24">
        <v>6.0</v>
      </c>
      <c r="E14" s="24">
        <v>8.0</v>
      </c>
      <c r="F14" s="24">
        <v>8.0</v>
      </c>
      <c r="G14" s="24">
        <v>8.0</v>
      </c>
      <c r="H14" s="24">
        <v>8.0</v>
      </c>
      <c r="I14" s="24">
        <v>8.0</v>
      </c>
      <c r="J14" s="24">
        <v>8.0</v>
      </c>
      <c r="K14" s="24">
        <v>8.0</v>
      </c>
      <c r="L14" s="24">
        <v>8.0</v>
      </c>
      <c r="M14" s="24">
        <v>8.0</v>
      </c>
      <c r="N14" s="24">
        <v>8.0</v>
      </c>
      <c r="O14" s="24">
        <v>8.0</v>
      </c>
      <c r="Q14" s="36"/>
      <c r="R14" s="36"/>
      <c r="S14" s="36"/>
    </row>
    <row r="15" spans="8:8">
      <c r="A15" s="99" t="s">
        <v>157</v>
      </c>
      <c r="B15" s="92" t="s">
        <v>150</v>
      </c>
      <c r="C15" s="24">
        <v>3.0</v>
      </c>
      <c r="D15" s="24">
        <v>5.0</v>
      </c>
      <c r="E15" s="24">
        <v>6.0</v>
      </c>
      <c r="F15" s="24">
        <v>6.0</v>
      </c>
      <c r="G15" s="24">
        <v>6.0</v>
      </c>
      <c r="H15" s="24">
        <v>6.0</v>
      </c>
      <c r="I15" s="24">
        <v>6.0</v>
      </c>
      <c r="J15" s="24">
        <v>6.0</v>
      </c>
      <c r="K15" s="24">
        <v>6.0</v>
      </c>
      <c r="L15" s="24">
        <v>6.0</v>
      </c>
      <c r="M15" s="24">
        <v>6.0</v>
      </c>
      <c r="N15" s="24">
        <v>6.0</v>
      </c>
      <c r="O15" s="24">
        <v>6.0</v>
      </c>
      <c r="Q15" s="36"/>
      <c r="R15" s="36"/>
      <c r="S15" s="36"/>
      <c r="U15" s="61"/>
      <c r="V15" s="61"/>
      <c r="AB15" s="76"/>
      <c r="AC15" s="76"/>
    </row>
    <row r="16" spans="8:8">
      <c r="A16" s="23" t="s">
        <v>11</v>
      </c>
      <c r="B16" s="92" t="s">
        <v>150</v>
      </c>
      <c r="C16" s="24">
        <v>1.0</v>
      </c>
      <c r="D16" s="24">
        <v>2.0</v>
      </c>
      <c r="E16" s="24">
        <v>2.0</v>
      </c>
      <c r="F16" s="24">
        <v>2.0</v>
      </c>
      <c r="G16" s="24">
        <v>2.0</v>
      </c>
      <c r="H16" s="24">
        <v>2.0</v>
      </c>
      <c r="I16" s="24">
        <v>2.0</v>
      </c>
      <c r="J16" s="24">
        <v>2.0</v>
      </c>
      <c r="K16" s="24">
        <v>2.0</v>
      </c>
      <c r="L16" s="24">
        <v>2.0</v>
      </c>
      <c r="M16" s="24">
        <v>2.0</v>
      </c>
      <c r="N16" s="24">
        <v>2.0</v>
      </c>
      <c r="O16" s="24">
        <v>2.0</v>
      </c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spans="8:8">
      <c r="A17" s="23" t="s">
        <v>21</v>
      </c>
      <c r="B17" s="92" t="s">
        <v>150</v>
      </c>
      <c r="C17" s="24">
        <v>5.0</v>
      </c>
      <c r="D17" s="24">
        <v>6.0</v>
      </c>
      <c r="E17" s="24">
        <v>8.0</v>
      </c>
      <c r="F17" s="24">
        <v>8.0</v>
      </c>
      <c r="G17" s="24">
        <v>8.0</v>
      </c>
      <c r="H17" s="24">
        <v>8.0</v>
      </c>
      <c r="I17" s="24">
        <v>8.0</v>
      </c>
      <c r="J17" s="24">
        <v>8.0</v>
      </c>
      <c r="K17" s="24">
        <v>8.0</v>
      </c>
      <c r="L17" s="24">
        <v>8.0</v>
      </c>
      <c r="M17" s="24">
        <v>8.0</v>
      </c>
      <c r="N17" s="24">
        <v>8.0</v>
      </c>
      <c r="O17" s="24">
        <v>8.0</v>
      </c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spans="8:8">
      <c r="A18" s="23" t="s">
        <v>158</v>
      </c>
      <c r="B18" s="92" t="s">
        <v>150</v>
      </c>
      <c r="C18" s="24"/>
      <c r="D18" s="24"/>
      <c r="E18" s="24"/>
      <c r="F18" s="24"/>
      <c r="G18" s="24"/>
      <c r="H18" s="24"/>
      <c r="I18" s="24"/>
      <c r="J18" s="24"/>
      <c r="K18" s="24"/>
      <c r="L18" s="24">
        <v>15.0</v>
      </c>
      <c r="M18" s="24"/>
      <c r="N18" s="24"/>
      <c r="O18" s="24"/>
      <c r="U18" s="66"/>
      <c r="V18" s="66"/>
      <c r="W18" s="66"/>
      <c r="X18" s="66"/>
      <c r="Y18" s="66"/>
      <c r="Z18" s="66"/>
      <c r="AA18" s="66"/>
    </row>
    <row r="19" spans="8:8">
      <c r="A19" s="23" t="s">
        <v>14</v>
      </c>
      <c r="B19" s="92" t="s">
        <v>150</v>
      </c>
      <c r="C19" s="24"/>
      <c r="D19" s="24"/>
      <c r="E19" s="24">
        <v>8.0</v>
      </c>
      <c r="F19" s="24">
        <v>12.0</v>
      </c>
      <c r="G19" s="24">
        <v>38.0</v>
      </c>
      <c r="H19" s="24">
        <v>56.0</v>
      </c>
      <c r="I19" s="24">
        <v>65.0</v>
      </c>
      <c r="J19" s="24">
        <v>81.0</v>
      </c>
      <c r="K19" s="24">
        <v>81.0</v>
      </c>
      <c r="L19" s="24">
        <v>47.0</v>
      </c>
      <c r="M19" s="24">
        <v>6.0</v>
      </c>
      <c r="N19" s="24">
        <v>78.0</v>
      </c>
      <c r="O19" s="24">
        <v>68.0</v>
      </c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</row>
    <row r="20" spans="8:8">
      <c r="A20" s="23" t="s">
        <v>159</v>
      </c>
      <c r="B20" s="92" t="s">
        <v>150</v>
      </c>
      <c r="C20" s="24"/>
      <c r="D20" s="24"/>
      <c r="E20" s="100">
        <v>6.0</v>
      </c>
      <c r="F20" s="100">
        <v>8.0</v>
      </c>
      <c r="G20" s="100">
        <v>30.0</v>
      </c>
      <c r="H20" s="100">
        <v>46.0</v>
      </c>
      <c r="I20" s="24">
        <v>52.0</v>
      </c>
      <c r="J20" s="24">
        <v>65.0</v>
      </c>
      <c r="K20" s="24">
        <v>65.0</v>
      </c>
      <c r="L20" s="24">
        <v>37.0</v>
      </c>
      <c r="M20" s="24">
        <v>5.0</v>
      </c>
      <c r="N20" s="24">
        <v>62.0</v>
      </c>
      <c r="O20" s="24">
        <v>53.0</v>
      </c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E20" s="101"/>
      <c r="AF20" s="17"/>
    </row>
    <row r="21" spans="8:8">
      <c r="A21" s="23" t="s">
        <v>5</v>
      </c>
      <c r="B21" s="92" t="s">
        <v>150</v>
      </c>
      <c r="C21" s="24">
        <v>3.0</v>
      </c>
      <c r="D21" s="24">
        <v>3.0</v>
      </c>
      <c r="E21" s="24">
        <v>3.0</v>
      </c>
      <c r="F21" s="24">
        <v>3.0</v>
      </c>
      <c r="G21" s="24">
        <v>9.0</v>
      </c>
      <c r="H21" s="24">
        <v>13.0</v>
      </c>
      <c r="I21" s="24">
        <v>16.0</v>
      </c>
      <c r="J21" s="24">
        <v>20.0</v>
      </c>
      <c r="K21" s="24">
        <v>20.0</v>
      </c>
      <c r="L21" s="24">
        <v>11.0</v>
      </c>
      <c r="M21" s="24">
        <v>2.0</v>
      </c>
      <c r="N21" s="24">
        <v>19.0</v>
      </c>
      <c r="O21" s="24">
        <v>16.0</v>
      </c>
      <c r="U21" s="36"/>
      <c r="AB21" s="76"/>
    </row>
    <row r="22" spans="8:8">
      <c r="A22" s="23" t="s">
        <v>34</v>
      </c>
      <c r="B22" s="92" t="s">
        <v>150</v>
      </c>
      <c r="C22" s="24">
        <f>SUM(C5:C21)</f>
        <v>204.0</v>
      </c>
      <c r="D22" s="24">
        <f t="shared" si="0" ref="D22:O22">SUM(D5:D21)</f>
        <v>61.0</v>
      </c>
      <c r="E22" s="24">
        <f t="shared" si="0"/>
        <v>72.0</v>
      </c>
      <c r="F22" s="24">
        <f t="shared" si="0"/>
        <v>77.0</v>
      </c>
      <c r="G22" s="24">
        <f t="shared" si="0"/>
        <v>131.0</v>
      </c>
      <c r="H22" s="24">
        <f t="shared" si="0"/>
        <v>169.0</v>
      </c>
      <c r="I22" s="24">
        <f t="shared" si="0"/>
        <v>187.0</v>
      </c>
      <c r="J22" s="24">
        <f t="shared" si="0"/>
        <v>220.0</v>
      </c>
      <c r="K22" s="24">
        <f t="shared" si="0"/>
        <v>220.0</v>
      </c>
      <c r="L22" s="24">
        <f t="shared" si="0"/>
        <v>164.0</v>
      </c>
      <c r="M22" s="24">
        <f t="shared" si="0"/>
        <v>67.0</v>
      </c>
      <c r="N22" s="24">
        <f t="shared" si="0"/>
        <v>213.0</v>
      </c>
      <c r="O22" s="24">
        <f t="shared" si="0"/>
        <v>191.0</v>
      </c>
      <c r="T22" s="36"/>
    </row>
    <row r="23" spans="8:8">
      <c r="A23" s="23" t="s">
        <v>35</v>
      </c>
      <c r="B23" s="92" t="s">
        <v>16</v>
      </c>
      <c r="C23" s="24">
        <f>C22*2.5</f>
        <v>510.0</v>
      </c>
      <c r="D23" s="24">
        <f t="shared" si="1" ref="D23:O23">D22*2.5</f>
        <v>152.5</v>
      </c>
      <c r="E23" s="24">
        <f t="shared" si="1"/>
        <v>180.0</v>
      </c>
      <c r="F23" s="24">
        <f t="shared" si="1"/>
        <v>192.5</v>
      </c>
      <c r="G23" s="24">
        <f t="shared" si="1"/>
        <v>327.5</v>
      </c>
      <c r="H23" s="24">
        <f t="shared" si="1"/>
        <v>422.5</v>
      </c>
      <c r="I23" s="24">
        <f t="shared" si="1"/>
        <v>467.5</v>
      </c>
      <c r="J23" s="24">
        <f t="shared" si="1"/>
        <v>550.0</v>
      </c>
      <c r="K23" s="24">
        <f t="shared" si="1"/>
        <v>550.0</v>
      </c>
      <c r="L23" s="24">
        <f t="shared" si="1"/>
        <v>410.0</v>
      </c>
      <c r="M23" s="24">
        <f t="shared" si="1"/>
        <v>167.5</v>
      </c>
      <c r="N23" s="24">
        <f t="shared" si="1"/>
        <v>532.5</v>
      </c>
      <c r="O23" s="24">
        <f t="shared" si="1"/>
        <v>477.5</v>
      </c>
      <c r="T23" s="36"/>
    </row>
    <row r="24" spans="8:8">
      <c r="A24" s="95" t="s">
        <v>201</v>
      </c>
      <c r="B24" s="94" t="s">
        <v>17</v>
      </c>
      <c r="C24" s="102">
        <f>C23*1500</f>
        <v>765000.0</v>
      </c>
      <c r="D24" s="102">
        <f>D23*1500</f>
        <v>228750.0</v>
      </c>
      <c r="E24" s="102">
        <f t="shared" si="2" ref="E24:O24">E23*1500</f>
        <v>270000.0</v>
      </c>
      <c r="F24" s="102">
        <f t="shared" si="2"/>
        <v>288750.0</v>
      </c>
      <c r="G24" s="102">
        <f t="shared" si="2"/>
        <v>491250.0</v>
      </c>
      <c r="H24" s="102">
        <f t="shared" si="2"/>
        <v>633750.0</v>
      </c>
      <c r="I24" s="102">
        <f t="shared" si="2"/>
        <v>701250.0</v>
      </c>
      <c r="J24" s="102">
        <f t="shared" si="2"/>
        <v>825000.0</v>
      </c>
      <c r="K24" s="102">
        <f t="shared" si="2"/>
        <v>825000.0</v>
      </c>
      <c r="L24" s="102">
        <f t="shared" si="2"/>
        <v>615000.0</v>
      </c>
      <c r="M24" s="102">
        <f t="shared" si="2"/>
        <v>251250.0</v>
      </c>
      <c r="N24" s="102">
        <f t="shared" si="2"/>
        <v>798750.0</v>
      </c>
      <c r="O24" s="102">
        <f t="shared" si="2"/>
        <v>716250.0</v>
      </c>
      <c r="P24" s="69"/>
      <c r="T24" s="103"/>
    </row>
    <row r="25" spans="8:8" s="17" ht="12.0" customFormat="1">
      <c r="A25" s="104"/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68"/>
      <c r="U25" s="61"/>
      <c r="V25" s="61"/>
      <c r="AG25" s="66"/>
      <c r="AH25" s="66"/>
      <c r="AI25" s="66"/>
      <c r="AJ25" s="66"/>
      <c r="AK25" s="66"/>
      <c r="AL25" s="66"/>
      <c r="AM25" s="66"/>
      <c r="AN25" s="66"/>
      <c r="AO25" s="66"/>
      <c r="AP25" s="66"/>
    </row>
    <row r="26" spans="8:8">
      <c r="A26" s="95" t="s">
        <v>25</v>
      </c>
      <c r="B26" s="9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V26" s="108"/>
      <c r="W26" s="108"/>
      <c r="X26" s="108"/>
      <c r="Y26" s="108"/>
      <c r="Z26" s="108"/>
      <c r="AA26" s="108"/>
      <c r="AB26" s="109"/>
      <c r="AC26" s="109"/>
      <c r="AD26" s="109"/>
      <c r="AE26" s="109"/>
      <c r="AF26" s="109"/>
    </row>
    <row r="27" spans="8:8">
      <c r="A27" s="110" t="s">
        <v>44</v>
      </c>
      <c r="B27" s="92" t="s">
        <v>26</v>
      </c>
      <c r="C27" s="107">
        <v>4000.0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V27" s="108"/>
      <c r="W27" s="108"/>
      <c r="X27" s="108"/>
      <c r="Y27" s="108"/>
      <c r="Z27" s="108"/>
      <c r="AA27" s="108"/>
      <c r="AB27" s="109"/>
      <c r="AC27" s="109"/>
      <c r="AD27" s="109"/>
      <c r="AE27" s="109"/>
      <c r="AF27" s="109"/>
    </row>
    <row r="28" spans="8:8">
      <c r="A28" s="111" t="s">
        <v>472</v>
      </c>
      <c r="B28" s="92" t="s">
        <v>26</v>
      </c>
      <c r="C28" s="107">
        <f>16000*3</f>
        <v>48000.0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AD28" s="17"/>
    </row>
    <row r="29" spans="8:8" ht="25.5" customHeight="1">
      <c r="A29" s="112" t="s">
        <v>512</v>
      </c>
      <c r="B29" s="92" t="s">
        <v>26</v>
      </c>
      <c r="C29" s="107">
        <f>3000*30</f>
        <v>90000.0</v>
      </c>
      <c r="D29" s="107">
        <f>C29/10</f>
        <v>9000.0</v>
      </c>
      <c r="E29" s="107">
        <f>D29/4</f>
        <v>2250.0</v>
      </c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AE29" s="17"/>
      <c r="AF29" s="17"/>
    </row>
    <row r="30" spans="8:8" ht="12.0">
      <c r="A30" s="112" t="s">
        <v>160</v>
      </c>
      <c r="B30" s="92" t="s">
        <v>26</v>
      </c>
      <c r="C30" s="113">
        <v>3000.0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AE30" s="17"/>
      <c r="AF30" s="17"/>
      <c r="AQ30" s="66"/>
      <c r="AR30" s="66"/>
    </row>
    <row r="31" spans="8:8" ht="12.0">
      <c r="A31" s="114" t="s">
        <v>40</v>
      </c>
      <c r="B31" s="92" t="s">
        <v>161</v>
      </c>
      <c r="C31" s="107">
        <v>600.0</v>
      </c>
      <c r="D31" s="107">
        <v>900.0</v>
      </c>
      <c r="E31" s="107">
        <v>1200.0</v>
      </c>
      <c r="F31" s="107">
        <v>1200.0</v>
      </c>
      <c r="G31" s="107">
        <v>1200.0</v>
      </c>
      <c r="H31" s="107">
        <v>1200.0</v>
      </c>
      <c r="I31" s="107">
        <v>1200.0</v>
      </c>
      <c r="J31" s="107">
        <v>1200.0</v>
      </c>
      <c r="K31" s="107">
        <v>1200.0</v>
      </c>
      <c r="L31" s="107">
        <v>1200.0</v>
      </c>
      <c r="M31" s="107">
        <v>1200.0</v>
      </c>
      <c r="N31" s="107">
        <v>1200.0</v>
      </c>
      <c r="O31" s="107">
        <v>1200.0</v>
      </c>
      <c r="AQ31" s="66"/>
      <c r="AR31" s="66"/>
    </row>
    <row r="32" spans="8:8" s="115" ht="12.0" customFormat="1">
      <c r="A32" s="111" t="s">
        <v>484</v>
      </c>
      <c r="B32" s="116" t="s">
        <v>26</v>
      </c>
      <c r="C32" s="117">
        <f>C31*267.33</f>
        <v>160398.0</v>
      </c>
      <c r="D32" s="117">
        <f t="shared" si="3" ref="D32:O32">D31*267.33</f>
        <v>240597.0</v>
      </c>
      <c r="E32" s="117">
        <f t="shared" si="3"/>
        <v>320796.0</v>
      </c>
      <c r="F32" s="117">
        <f t="shared" si="3"/>
        <v>320796.0</v>
      </c>
      <c r="G32" s="117">
        <f>G31*267.33</f>
        <v>320796.0</v>
      </c>
      <c r="H32" s="117">
        <f t="shared" si="3"/>
        <v>320796.0</v>
      </c>
      <c r="I32" s="117">
        <f t="shared" si="3"/>
        <v>320796.0</v>
      </c>
      <c r="J32" s="117">
        <f t="shared" si="3"/>
        <v>320796.0</v>
      </c>
      <c r="K32" s="117">
        <f t="shared" si="3"/>
        <v>320796.0</v>
      </c>
      <c r="L32" s="117">
        <f t="shared" si="3"/>
        <v>320796.0</v>
      </c>
      <c r="M32" s="117">
        <f t="shared" si="3"/>
        <v>320796.0</v>
      </c>
      <c r="N32" s="117">
        <f t="shared" si="3"/>
        <v>320796.0</v>
      </c>
      <c r="O32" s="117">
        <f t="shared" si="3"/>
        <v>320796.0</v>
      </c>
      <c r="P32" s="118"/>
      <c r="T32" s="119"/>
      <c r="U32" s="120"/>
      <c r="V32" s="120"/>
      <c r="W32" s="120"/>
      <c r="X32" s="120"/>
      <c r="Y32" s="120"/>
      <c r="Z32" s="120"/>
      <c r="AA32" s="121"/>
      <c r="AB32" s="119"/>
      <c r="AC32" s="119"/>
      <c r="AD32" s="41"/>
      <c r="AE32" s="122"/>
    </row>
    <row r="33" spans="8:8" customHeight="1">
      <c r="A33" s="114" t="s">
        <v>134</v>
      </c>
      <c r="B33" s="92" t="s">
        <v>26</v>
      </c>
      <c r="C33" s="107">
        <v>2000.0</v>
      </c>
      <c r="D33" s="107">
        <v>4000.0</v>
      </c>
      <c r="E33" s="107">
        <v>4000.0</v>
      </c>
      <c r="F33" s="107">
        <v>10000.0</v>
      </c>
      <c r="G33" s="107">
        <v>10000.0</v>
      </c>
      <c r="H33" s="107">
        <v>20000.0</v>
      </c>
      <c r="I33" s="107">
        <v>40000.0</v>
      </c>
      <c r="J33" s="107">
        <v>40000.0</v>
      </c>
      <c r="K33" s="107">
        <v>40000.0</v>
      </c>
      <c r="L33" s="107">
        <v>40000.0</v>
      </c>
      <c r="M33" s="107">
        <v>40000.0</v>
      </c>
      <c r="N33" s="107">
        <v>40000.0</v>
      </c>
      <c r="O33" s="107">
        <v>40000.0</v>
      </c>
      <c r="U33" s="61"/>
      <c r="V33" s="61"/>
      <c r="W33" s="61"/>
      <c r="X33" s="61"/>
      <c r="Y33" s="61"/>
      <c r="Z33" s="61"/>
      <c r="AA33" s="61"/>
      <c r="AB33" s="17"/>
      <c r="AC33" s="17"/>
      <c r="AD33" s="17"/>
      <c r="AE33" s="17"/>
    </row>
    <row r="34" spans="8:8">
      <c r="A34" s="123" t="s">
        <v>7</v>
      </c>
      <c r="B34" s="94" t="s">
        <v>26</v>
      </c>
      <c r="C34" s="102">
        <f>C27+C28+C29+C30+C32+C33</f>
        <v>307398.0</v>
      </c>
      <c r="D34" s="102">
        <f t="shared" si="4" ref="D34:O34">D27+D28+D29+D30+D32+D33</f>
        <v>253597.0</v>
      </c>
      <c r="E34" s="102">
        <f t="shared" si="4"/>
        <v>327046.0</v>
      </c>
      <c r="F34" s="102">
        <f t="shared" si="4"/>
        <v>330796.0</v>
      </c>
      <c r="G34" s="102">
        <f t="shared" si="4"/>
        <v>330796.0</v>
      </c>
      <c r="H34" s="102">
        <f t="shared" si="4"/>
        <v>340796.0</v>
      </c>
      <c r="I34" s="102">
        <f t="shared" si="4"/>
        <v>360796.0</v>
      </c>
      <c r="J34" s="102">
        <f t="shared" si="4"/>
        <v>360796.0</v>
      </c>
      <c r="K34" s="102">
        <f t="shared" si="4"/>
        <v>360796.0</v>
      </c>
      <c r="L34" s="102">
        <f t="shared" si="4"/>
        <v>360796.0</v>
      </c>
      <c r="M34" s="102">
        <f t="shared" si="4"/>
        <v>360796.0</v>
      </c>
      <c r="N34" s="102">
        <f t="shared" si="4"/>
        <v>360796.0</v>
      </c>
      <c r="O34" s="102">
        <f t="shared" si="4"/>
        <v>360796.0</v>
      </c>
    </row>
    <row r="35" spans="8:8">
      <c r="A35" s="44" t="s">
        <v>27</v>
      </c>
      <c r="B35" s="124" t="s">
        <v>26</v>
      </c>
      <c r="C35" s="125">
        <f>C34+C24</f>
        <v>1072398.0</v>
      </c>
      <c r="D35" s="125">
        <f t="shared" si="5" ref="D35:O35">D34+D24</f>
        <v>482347.0</v>
      </c>
      <c r="E35" s="125">
        <f t="shared" si="5"/>
        <v>597046.0</v>
      </c>
      <c r="F35" s="125">
        <f t="shared" si="5"/>
        <v>619546.0</v>
      </c>
      <c r="G35" s="125">
        <f t="shared" si="5"/>
        <v>822046.0</v>
      </c>
      <c r="H35" s="125">
        <f t="shared" si="5"/>
        <v>974546.0</v>
      </c>
      <c r="I35" s="125">
        <f t="shared" si="5"/>
        <v>1062046.0</v>
      </c>
      <c r="J35" s="125">
        <f t="shared" si="5"/>
        <v>1185796.0</v>
      </c>
      <c r="K35" s="125">
        <f t="shared" si="5"/>
        <v>1185796.0</v>
      </c>
      <c r="L35" s="125">
        <f t="shared" si="5"/>
        <v>975796.0</v>
      </c>
      <c r="M35" s="125">
        <f t="shared" si="5"/>
        <v>612046.0</v>
      </c>
      <c r="N35" s="125">
        <f t="shared" si="5"/>
        <v>1159546.0</v>
      </c>
      <c r="O35" s="125">
        <f t="shared" si="5"/>
        <v>1077046.0</v>
      </c>
      <c r="Q35" s="36"/>
      <c r="R35" s="96"/>
      <c r="S35" s="96"/>
      <c r="T35" s="96"/>
      <c r="U35" s="96"/>
      <c r="V35" s="96"/>
      <c r="W35" s="96"/>
      <c r="X35" s="96"/>
      <c r="Y35" s="36"/>
      <c r="Z35" s="36"/>
      <c r="AA35" s="36"/>
      <c r="AB35" s="36"/>
      <c r="AN35"/>
      <c r="AO35"/>
      <c r="AQ35" s="66"/>
      <c r="AR35" s="66"/>
    </row>
    <row r="36" spans="8:8">
      <c r="A36" s="23"/>
      <c r="B36" s="92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69"/>
      <c r="R36" s="76"/>
      <c r="S36" s="76"/>
      <c r="T36" s="76"/>
      <c r="Y36" s="66"/>
      <c r="Z36" s="66"/>
      <c r="AA36" s="66"/>
      <c r="AN36"/>
      <c r="AO36"/>
      <c r="AQ36" s="66"/>
      <c r="AR36" s="66"/>
    </row>
    <row r="37" spans="8:8">
      <c r="A37" s="126" t="s">
        <v>18</v>
      </c>
      <c r="B37" s="92"/>
      <c r="C37" s="107"/>
      <c r="D37" s="107"/>
      <c r="E37" s="106"/>
      <c r="F37" s="106"/>
      <c r="G37" s="107"/>
      <c r="H37" s="107"/>
      <c r="I37" s="107"/>
      <c r="J37" s="107"/>
      <c r="K37" s="107"/>
      <c r="L37" s="107"/>
      <c r="M37" s="107"/>
      <c r="N37" s="107"/>
      <c r="O37" s="107"/>
      <c r="R37" s="75"/>
    </row>
    <row r="38" spans="8:8" ht="12.0" customHeight="1">
      <c r="A38" s="99" t="s">
        <v>162</v>
      </c>
      <c r="B38" s="92"/>
      <c r="C38" s="107"/>
      <c r="D38" s="107"/>
      <c r="E38" s="107">
        <v>0.05</v>
      </c>
      <c r="F38" s="107">
        <v>0.1</v>
      </c>
      <c r="G38" s="107">
        <v>0.5</v>
      </c>
      <c r="H38" s="107">
        <v>0.7</v>
      </c>
      <c r="I38" s="107">
        <v>0.8</v>
      </c>
      <c r="J38" s="107">
        <v>1.0</v>
      </c>
      <c r="K38" s="107">
        <v>1.0</v>
      </c>
      <c r="L38" s="107">
        <v>0.7</v>
      </c>
      <c r="M38" s="107">
        <v>0.1</v>
      </c>
      <c r="N38" s="107">
        <v>1.0</v>
      </c>
      <c r="O38" s="107">
        <v>1.0</v>
      </c>
      <c r="Q38" s="75"/>
      <c r="S38" s="75"/>
    </row>
    <row r="39" spans="8:8" ht="23.25" customHeight="1">
      <c r="A39" s="99" t="s">
        <v>163</v>
      </c>
      <c r="B39" s="92"/>
      <c r="C39" s="107"/>
      <c r="D39" s="107"/>
      <c r="E39" s="107">
        <v>1500.0</v>
      </c>
      <c r="F39" s="107">
        <v>1800.0</v>
      </c>
      <c r="G39" s="107">
        <v>2500.0</v>
      </c>
      <c r="H39" s="107">
        <v>2700.0</v>
      </c>
      <c r="I39" s="107">
        <v>2700.0</v>
      </c>
      <c r="J39" s="107">
        <v>2700.0</v>
      </c>
      <c r="K39" s="107">
        <v>2700.0</v>
      </c>
      <c r="L39" s="107">
        <v>2200.0</v>
      </c>
      <c r="M39" s="107">
        <v>2000.0</v>
      </c>
      <c r="N39" s="107">
        <v>2600.0</v>
      </c>
      <c r="O39" s="107">
        <v>2200.0</v>
      </c>
      <c r="U39" s="61"/>
      <c r="V39" s="61"/>
      <c r="W39" s="61"/>
      <c r="X39" s="61"/>
      <c r="Y39" s="61"/>
      <c r="Z39" s="61"/>
      <c r="AA39" s="127"/>
      <c r="AD39" s="17"/>
      <c r="AE39" s="101"/>
    </row>
    <row r="40" spans="8:8" ht="12.0" customHeight="1">
      <c r="A40" s="99" t="s">
        <v>164</v>
      </c>
      <c r="B40" s="92" t="s">
        <v>41</v>
      </c>
      <c r="C40" s="107"/>
      <c r="D40" s="107"/>
      <c r="E40" s="107">
        <f>E39*E38</f>
        <v>75.0</v>
      </c>
      <c r="F40" s="107">
        <f t="shared" si="6" ref="F40:O40">F39*F38</f>
        <v>180.0</v>
      </c>
      <c r="G40" s="107">
        <f t="shared" si="6"/>
        <v>1250.0</v>
      </c>
      <c r="H40" s="107">
        <f t="shared" si="6"/>
        <v>1889.9999999999998</v>
      </c>
      <c r="I40" s="107">
        <f t="shared" si="6"/>
        <v>2160.0</v>
      </c>
      <c r="J40" s="107">
        <f t="shared" si="6"/>
        <v>2700.0</v>
      </c>
      <c r="K40" s="107">
        <f t="shared" si="6"/>
        <v>2700.0</v>
      </c>
      <c r="L40" s="107">
        <f t="shared" si="6"/>
        <v>1540.0</v>
      </c>
      <c r="M40" s="107">
        <f t="shared" si="6"/>
        <v>200.0</v>
      </c>
      <c r="N40" s="107">
        <f t="shared" si="6"/>
        <v>2600.0</v>
      </c>
      <c r="O40" s="107">
        <f t="shared" si="6"/>
        <v>2200.0</v>
      </c>
      <c r="Q40" s="128">
        <v>914.2715151515152</v>
      </c>
      <c r="U40" s="61"/>
      <c r="V40" s="61"/>
      <c r="W40" s="61"/>
      <c r="X40" s="61"/>
      <c r="Y40" s="61"/>
      <c r="Z40" s="61"/>
      <c r="AA40" s="61"/>
      <c r="AB40" s="17"/>
      <c r="AC40" s="17"/>
      <c r="AD40" s="17"/>
      <c r="AE40" s="17"/>
    </row>
    <row r="41" spans="8:8" ht="36.0">
      <c r="A41" s="52" t="s">
        <v>493</v>
      </c>
      <c r="B41" s="129" t="s">
        <v>26</v>
      </c>
      <c r="C41" s="130"/>
      <c r="D41" s="130"/>
      <c r="E41" s="130">
        <f>E40*896.12</f>
        <v>67209.0</v>
      </c>
      <c r="F41" s="130">
        <f t="shared" si="7" ref="F41:N41">F40*896.12</f>
        <v>161301.6</v>
      </c>
      <c r="G41" s="130">
        <f t="shared" si="7"/>
        <v>1120150.0</v>
      </c>
      <c r="H41" s="130">
        <f t="shared" si="7"/>
        <v>1693666.7999999998</v>
      </c>
      <c r="I41" s="130">
        <f t="shared" si="7"/>
        <v>1935619.2</v>
      </c>
      <c r="J41" s="130">
        <f t="shared" si="7"/>
        <v>2419524.0</v>
      </c>
      <c r="K41" s="130">
        <f t="shared" si="7"/>
        <v>2419524.0</v>
      </c>
      <c r="L41" s="130">
        <f t="shared" si="7"/>
        <v>1380024.8</v>
      </c>
      <c r="M41" s="130">
        <f t="shared" si="7"/>
        <v>179224.0</v>
      </c>
      <c r="N41" s="130">
        <f t="shared" si="7"/>
        <v>2329912.0</v>
      </c>
      <c r="O41" s="130">
        <f>O40*896.12</f>
        <v>1971464.0</v>
      </c>
    </row>
    <row r="42" spans="8:8" ht="15.75" customHeight="1">
      <c r="A42" s="44" t="s">
        <v>19</v>
      </c>
      <c r="B42" s="124" t="s">
        <v>26</v>
      </c>
      <c r="C42" s="131">
        <f>C41-C35</f>
        <v>-1072398.0</v>
      </c>
      <c r="D42" s="131">
        <f t="shared" si="8" ref="D42:O42">D41-D35</f>
        <v>-482347.0</v>
      </c>
      <c r="E42" s="131">
        <f t="shared" si="8"/>
        <v>-529837.0</v>
      </c>
      <c r="F42" s="131">
        <f t="shared" si="8"/>
        <v>-458244.4</v>
      </c>
      <c r="G42" s="131">
        <f t="shared" si="8"/>
        <v>298104.0</v>
      </c>
      <c r="H42" s="131">
        <f t="shared" si="8"/>
        <v>719120.8</v>
      </c>
      <c r="I42" s="131">
        <f t="shared" si="8"/>
        <v>873573.2</v>
      </c>
      <c r="J42" s="131">
        <f t="shared" si="8"/>
        <v>1233728.0</v>
      </c>
      <c r="K42" s="131">
        <f>K41-K35</f>
        <v>1233728.0</v>
      </c>
      <c r="L42" s="131">
        <f t="shared" si="8"/>
        <v>404228.80000000005</v>
      </c>
      <c r="M42" s="131">
        <f t="shared" si="8"/>
        <v>-432822.0</v>
      </c>
      <c r="N42" s="131">
        <f t="shared" si="8"/>
        <v>1170366.0</v>
      </c>
      <c r="O42" s="131">
        <f t="shared" si="8"/>
        <v>894418.0</v>
      </c>
    </row>
    <row r="43" spans="8:8">
      <c r="A43" s="132" t="s">
        <v>59</v>
      </c>
      <c r="B43" s="133" t="s">
        <v>49</v>
      </c>
      <c r="C43" s="134"/>
      <c r="D43" s="134"/>
      <c r="E43" s="134"/>
      <c r="F43" s="134"/>
      <c r="G43" s="134"/>
      <c r="H43" s="134"/>
      <c r="I43" s="134"/>
      <c r="J43" s="134">
        <f>J35/J40</f>
        <v>439.1837037037037</v>
      </c>
      <c r="K43" s="134">
        <f>K35/K40</f>
        <v>439.1837037037037</v>
      </c>
      <c r="L43" s="134"/>
      <c r="M43" s="134"/>
      <c r="N43" s="134"/>
      <c r="O43" s="134"/>
    </row>
    <row r="44" spans="8:8" s="17" ht="12.0" customFormat="1"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68"/>
      <c r="U44" s="61"/>
      <c r="V44" s="61"/>
      <c r="W44" s="61"/>
      <c r="X44" s="61"/>
      <c r="Y44" s="61"/>
      <c r="Z44" s="61"/>
      <c r="AA44" s="61"/>
    </row>
    <row r="45" spans="8:8" s="17" ht="12.0" customFormat="1"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68"/>
      <c r="U45" s="61"/>
      <c r="V45" s="61"/>
      <c r="W45" s="61"/>
      <c r="X45" s="61"/>
      <c r="Y45" s="61"/>
      <c r="Z45" s="61"/>
      <c r="AA45" s="61"/>
    </row>
    <row r="46" spans="8:8" s="137" ht="12.0" customFormat="1">
      <c r="A46" s="138"/>
      <c r="B46" s="139"/>
      <c r="C46" s="139"/>
      <c r="D46" s="139"/>
      <c r="E46" s="139"/>
      <c r="F46" s="139"/>
      <c r="G46" s="139"/>
      <c r="H46" s="139"/>
      <c r="I46" s="139"/>
      <c r="J46" s="140"/>
      <c r="K46" s="140"/>
      <c r="L46" s="139"/>
      <c r="M46" s="139"/>
      <c r="N46" s="139"/>
      <c r="O46" s="139"/>
      <c r="P46" s="70"/>
      <c r="U46" s="141"/>
      <c r="V46" s="141"/>
      <c r="W46" s="141"/>
      <c r="X46" s="141"/>
      <c r="Y46" s="141"/>
      <c r="Z46" s="141"/>
      <c r="AA46" s="141"/>
    </row>
    <row r="47" spans="8:8">
      <c r="A47" s="66" t="s">
        <v>166</v>
      </c>
    </row>
    <row r="48" spans="8:8" ht="11.25" customHeight="1">
      <c r="A48" s="66" t="s">
        <v>167</v>
      </c>
    </row>
    <row r="49" spans="8:8">
      <c r="A49" s="142" t="s">
        <v>60</v>
      </c>
      <c r="B49" s="91" t="s">
        <v>458</v>
      </c>
    </row>
    <row r="50" spans="8:8">
      <c r="A50" s="66" t="s">
        <v>166</v>
      </c>
    </row>
    <row r="51" spans="8:8" ht="11.25" customHeight="1">
      <c r="A51" s="66" t="s">
        <v>167</v>
      </c>
    </row>
    <row r="52" spans="8:8">
      <c r="Z52" s="61"/>
      <c r="AA52" s="127"/>
      <c r="AD52" s="17"/>
      <c r="AE52" s="101"/>
    </row>
    <row r="53" spans="8:8">
      <c r="A53" s="36" t="s">
        <v>97</v>
      </c>
      <c r="B53" s="143"/>
      <c r="I53" s="144"/>
    </row>
    <row r="54" spans="8:8">
      <c r="A54" s="36" t="s">
        <v>132</v>
      </c>
      <c r="AB54" s="36"/>
    </row>
    <row r="55" spans="8:8" s="8" customFormat="1">
      <c r="A55" s="66" t="s">
        <v>407</v>
      </c>
      <c r="B55" s="61"/>
      <c r="C55" s="2"/>
      <c r="D55" s="2"/>
      <c r="E55" s="2"/>
      <c r="F55" s="2"/>
      <c r="G55" s="61"/>
      <c r="H55" s="2"/>
      <c r="I55" s="2"/>
      <c r="J55" s="2"/>
      <c r="K55" s="2"/>
      <c r="L55" s="2"/>
      <c r="M55" s="34"/>
      <c r="N55" s="34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8:8">
      <c r="A56" s="66" t="s">
        <v>408</v>
      </c>
      <c r="B56" s="144"/>
      <c r="C56" s="144"/>
      <c r="D56" s="144"/>
      <c r="E56" s="144"/>
      <c r="F56" s="144"/>
      <c r="G56" s="144"/>
      <c r="H56" s="144"/>
      <c r="AB56" s="36"/>
    </row>
    <row r="57" spans="8:8">
      <c r="A57" s="66" t="s">
        <v>409</v>
      </c>
    </row>
    <row r="58" spans="8:8" ht="13.5" customHeight="1">
      <c r="A58" s="66" t="s">
        <v>410</v>
      </c>
      <c r="AQ58" s="66"/>
      <c r="AR58" s="66"/>
    </row>
    <row r="59" spans="8:8">
      <c r="A59" s="66" t="s">
        <v>411</v>
      </c>
      <c r="B59" s="135"/>
      <c r="G59" s="135"/>
    </row>
    <row r="60" spans="8:8">
      <c r="A60" s="66" t="s">
        <v>168</v>
      </c>
    </row>
    <row r="61" spans="8:8">
      <c r="A61" s="66" t="s">
        <v>412</v>
      </c>
    </row>
    <row r="62" spans="8:8">
      <c r="A62" s="66" t="s">
        <v>169</v>
      </c>
    </row>
    <row r="63" spans="8:8" s="5" customFormat="1">
      <c r="A63" s="5" t="s">
        <v>413</v>
      </c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6"/>
    </row>
  </sheetData>
  <pageMargins left="0.7" right="0.7" top="0.75" bottom="0.75" header="0.3" footer="0.3"/>
  <pageSetup paperSize="9" scale="80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P79"/>
  <sheetViews>
    <sheetView workbookViewId="0">
      <selection activeCell="B1" sqref="B1"/>
    </sheetView>
  </sheetViews>
  <sheetFormatPr defaultRowHeight="12.0" defaultColWidth="9"/>
  <cols>
    <col min="1" max="1" customWidth="1" width="39.0" style="66"/>
    <col min="2" max="2" customWidth="1" width="6.8554688" style="66"/>
    <col min="3" max="3" customWidth="1" width="11.285156" style="76"/>
    <col min="4" max="4" customWidth="1" width="11.855469" style="76"/>
    <col min="5" max="5" customWidth="1" width="11.285156" style="76"/>
    <col min="6" max="6" customWidth="1" bestFit="1" width="11.0" style="76"/>
    <col min="7" max="7" customWidth="1" width="11.0" style="76"/>
    <col min="8" max="8" customWidth="1" width="13.7109375" style="76"/>
    <col min="9" max="9" customWidth="1" width="11.285156" style="76"/>
    <col min="10" max="10" customWidth="1" width="10.7109375" style="76"/>
    <col min="11" max="11" customWidth="1" width="11.140625" style="76"/>
    <col min="12" max="12" customWidth="1" width="11.855469" style="76"/>
    <col min="13" max="13" customWidth="1" width="12.140625" style="76"/>
    <col min="14" max="14" customWidth="1" width="8.425781" style="68"/>
    <col min="15" max="15" customWidth="1" width="13.0" style="66"/>
    <col min="16" max="16" customWidth="1" width="12.5703125" style="36"/>
    <col min="17" max="17" customWidth="1" width="9.5703125" style="66"/>
    <col min="18" max="18" customWidth="1" width="13.285156" style="66"/>
    <col min="19" max="19" customWidth="1" width="13.425781" style="66"/>
    <col min="20" max="20" customWidth="1" bestFit="1" width="11.285156" style="66"/>
    <col min="21" max="22" customWidth="0" width="9.285156" style="66"/>
    <col min="23" max="23" customWidth="1" width="10.855469" style="66"/>
    <col min="24" max="24" customWidth="1" width="11.425781" style="66"/>
    <col min="25" max="25" customWidth="1" width="11.855469" style="66"/>
    <col min="26" max="28" customWidth="0" width="9.285156" style="66"/>
    <col min="29" max="29" customWidth="1" width="47.285156" style="66"/>
    <col min="30" max="16384" customWidth="0" width="9.285156" style="66"/>
  </cols>
  <sheetData>
    <row r="1" spans="8:8">
      <c r="B1" s="5" t="s">
        <v>520</v>
      </c>
    </row>
    <row r="2" spans="8:8" s="36" ht="23.25" customFormat="1" customHeight="1">
      <c r="A2" s="95"/>
      <c r="B2" s="95" t="s">
        <v>2</v>
      </c>
      <c r="C2" s="147" t="s">
        <v>70</v>
      </c>
      <c r="D2" s="148" t="s">
        <v>171</v>
      </c>
      <c r="E2" s="147" t="s">
        <v>172</v>
      </c>
      <c r="F2" s="147" t="s">
        <v>173</v>
      </c>
      <c r="G2" s="147" t="s">
        <v>174</v>
      </c>
      <c r="H2" s="147" t="s">
        <v>175</v>
      </c>
      <c r="I2" s="147" t="s">
        <v>176</v>
      </c>
      <c r="J2" s="147" t="s">
        <v>177</v>
      </c>
      <c r="K2" s="147" t="s">
        <v>178</v>
      </c>
      <c r="L2" s="147" t="s">
        <v>179</v>
      </c>
      <c r="M2" s="147" t="s">
        <v>180</v>
      </c>
      <c r="N2" s="149"/>
    </row>
    <row r="3" spans="8:8">
      <c r="A3" s="95" t="s">
        <v>22</v>
      </c>
      <c r="B3" s="23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  <c r="P3" s="142"/>
    </row>
    <row r="4" spans="8:8">
      <c r="A4" s="95" t="s">
        <v>96</v>
      </c>
      <c r="B4" s="23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  <c r="P4" s="76"/>
      <c r="Q4" s="76"/>
      <c r="R4" s="76"/>
      <c r="S4" s="76"/>
      <c r="T4" s="76"/>
    </row>
    <row r="5" spans="8:8">
      <c r="A5" s="99" t="s">
        <v>181</v>
      </c>
      <c r="B5" s="95" t="s">
        <v>150</v>
      </c>
      <c r="C5" s="24">
        <v>15.0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149"/>
      <c r="P5" s="96"/>
      <c r="Q5" s="96"/>
      <c r="R5" s="96"/>
      <c r="S5" s="96"/>
      <c r="T5" s="96"/>
    </row>
    <row r="6" spans="8:8">
      <c r="A6" s="23" t="s">
        <v>182</v>
      </c>
      <c r="B6" s="23" t="s">
        <v>150</v>
      </c>
      <c r="C6" s="24">
        <v>10.0</v>
      </c>
      <c r="D6" s="24">
        <v>8.0</v>
      </c>
      <c r="E6" s="24">
        <v>8.0</v>
      </c>
      <c r="F6" s="24">
        <v>8.0</v>
      </c>
      <c r="G6" s="24">
        <v>8.0</v>
      </c>
      <c r="H6" s="24">
        <v>8.0</v>
      </c>
      <c r="I6" s="24">
        <v>8.0</v>
      </c>
      <c r="J6" s="24">
        <v>8.0</v>
      </c>
      <c r="K6" s="24">
        <v>8.0</v>
      </c>
      <c r="L6" s="24">
        <v>8.0</v>
      </c>
      <c r="M6" s="24">
        <v>8.0</v>
      </c>
      <c r="N6" s="149"/>
      <c r="P6" s="76"/>
      <c r="Q6" s="76"/>
      <c r="R6" s="76"/>
      <c r="S6" s="76"/>
      <c r="T6" s="76"/>
      <c r="U6" s="150"/>
      <c r="V6" s="150"/>
      <c r="W6" s="150"/>
      <c r="X6" s="150"/>
    </row>
    <row r="7" spans="8:8">
      <c r="A7" s="23" t="s">
        <v>183</v>
      </c>
      <c r="B7" s="23" t="s">
        <v>150</v>
      </c>
      <c r="C7" s="24">
        <v>18.0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149"/>
      <c r="O7" s="36"/>
      <c r="P7" s="76"/>
      <c r="Q7" s="76"/>
      <c r="R7" s="76"/>
      <c r="S7" s="76"/>
      <c r="T7" s="76"/>
      <c r="U7" s="76"/>
      <c r="V7" s="76"/>
      <c r="W7" s="76"/>
      <c r="X7" s="76"/>
    </row>
    <row r="8" spans="8:8">
      <c r="A8" s="99" t="s">
        <v>63</v>
      </c>
      <c r="B8" s="23" t="s">
        <v>150</v>
      </c>
      <c r="C8" s="24">
        <v>6.0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149"/>
      <c r="O8" s="36"/>
      <c r="P8" s="76"/>
      <c r="Q8" s="76"/>
      <c r="R8" s="76"/>
      <c r="S8" s="76"/>
      <c r="T8" s="76"/>
      <c r="U8" s="76"/>
      <c r="V8" s="76"/>
      <c r="W8" s="76"/>
      <c r="X8" s="76"/>
    </row>
    <row r="9" spans="8:8">
      <c r="A9" s="99" t="s">
        <v>184</v>
      </c>
      <c r="B9" s="23"/>
      <c r="C9" s="24">
        <v>6.0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149"/>
      <c r="O9" s="36"/>
      <c r="P9" s="76"/>
      <c r="Q9" s="76"/>
      <c r="R9" s="76"/>
      <c r="S9" s="76"/>
      <c r="T9" s="76"/>
      <c r="U9" s="76"/>
      <c r="V9" s="76"/>
      <c r="W9" s="76"/>
      <c r="X9" s="76"/>
    </row>
    <row r="10" spans="8:8">
      <c r="A10" s="99" t="s">
        <v>185</v>
      </c>
      <c r="B10" s="23"/>
      <c r="C10" s="24">
        <v>6.0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149"/>
      <c r="O10" s="36"/>
      <c r="P10" s="76"/>
      <c r="Q10" s="76"/>
      <c r="R10" s="76"/>
      <c r="S10" s="76"/>
      <c r="T10" s="76"/>
      <c r="U10" s="76"/>
      <c r="V10" s="76"/>
      <c r="W10" s="76"/>
      <c r="X10" s="76"/>
    </row>
    <row r="11" spans="8:8">
      <c r="A11" s="23" t="s">
        <v>42</v>
      </c>
      <c r="B11" s="23" t="s">
        <v>150</v>
      </c>
      <c r="C11" s="24">
        <v>7.0</v>
      </c>
      <c r="D11" s="24">
        <v>3.0</v>
      </c>
      <c r="E11" s="24">
        <v>1.0</v>
      </c>
      <c r="F11" s="24"/>
      <c r="G11" s="24"/>
      <c r="H11" s="24"/>
      <c r="I11" s="24"/>
      <c r="J11" s="24"/>
      <c r="K11" s="24"/>
      <c r="L11" s="24"/>
      <c r="M11" s="24"/>
      <c r="N11" s="149"/>
      <c r="P11" s="66"/>
    </row>
    <row r="12" spans="8:8">
      <c r="A12" s="23" t="s">
        <v>155</v>
      </c>
      <c r="B12" s="23" t="s">
        <v>150</v>
      </c>
      <c r="C12" s="24">
        <v>12.0</v>
      </c>
      <c r="D12" s="24">
        <v>12.0</v>
      </c>
      <c r="E12" s="24">
        <v>8.0</v>
      </c>
      <c r="F12" s="24">
        <v>8.0</v>
      </c>
      <c r="G12" s="24">
        <v>8.0</v>
      </c>
      <c r="H12" s="24">
        <v>8.0</v>
      </c>
      <c r="I12" s="24">
        <v>8.0</v>
      </c>
      <c r="J12" s="24">
        <v>8.0</v>
      </c>
      <c r="K12" s="24">
        <v>8.0</v>
      </c>
      <c r="L12" s="24">
        <v>8.0</v>
      </c>
      <c r="M12" s="24">
        <v>8.0</v>
      </c>
      <c r="N12" s="149"/>
      <c r="O12" s="36"/>
      <c r="P12" s="66"/>
    </row>
    <row r="13" spans="8:8">
      <c r="A13" s="23" t="s">
        <v>11</v>
      </c>
      <c r="B13" s="23" t="s">
        <v>150</v>
      </c>
      <c r="C13" s="24">
        <v>1.0</v>
      </c>
      <c r="D13" s="24">
        <v>2.0</v>
      </c>
      <c r="E13" s="24">
        <v>2.0</v>
      </c>
      <c r="F13" s="24">
        <v>2.0</v>
      </c>
      <c r="G13" s="24">
        <v>2.0</v>
      </c>
      <c r="H13" s="24">
        <v>2.0</v>
      </c>
      <c r="I13" s="24">
        <v>2.0</v>
      </c>
      <c r="J13" s="24">
        <v>2.0</v>
      </c>
      <c r="K13" s="24">
        <v>2.0</v>
      </c>
      <c r="L13" s="24">
        <v>2.0</v>
      </c>
      <c r="M13" s="24">
        <v>2.0</v>
      </c>
      <c r="N13" s="149"/>
      <c r="P13" s="76"/>
      <c r="Q13" s="76"/>
      <c r="R13" s="76"/>
      <c r="S13" s="76"/>
      <c r="T13" s="76"/>
    </row>
    <row r="14" spans="8:8">
      <c r="A14" s="99" t="s">
        <v>186</v>
      </c>
      <c r="B14" s="23" t="s">
        <v>150</v>
      </c>
      <c r="C14" s="24"/>
      <c r="D14" s="24"/>
      <c r="E14" s="24">
        <v>5.0</v>
      </c>
      <c r="F14" s="24">
        <v>5.0</v>
      </c>
      <c r="G14" s="24">
        <v>8.0</v>
      </c>
      <c r="H14" s="24">
        <v>8.0</v>
      </c>
      <c r="I14" s="24">
        <v>12.0</v>
      </c>
      <c r="J14" s="24">
        <v>12.0</v>
      </c>
      <c r="K14" s="24">
        <v>12.0</v>
      </c>
      <c r="L14" s="24">
        <v>12.0</v>
      </c>
      <c r="M14" s="24">
        <v>12.0</v>
      </c>
      <c r="N14" s="149"/>
      <c r="O14" s="36"/>
      <c r="P14" s="76"/>
      <c r="Q14" s="76"/>
      <c r="R14" s="76"/>
      <c r="S14" s="76"/>
      <c r="T14" s="76"/>
    </row>
    <row r="15" spans="8:8">
      <c r="A15" s="23" t="s">
        <v>187</v>
      </c>
      <c r="B15" s="23" t="s">
        <v>150</v>
      </c>
      <c r="C15" s="24">
        <v>1.0</v>
      </c>
      <c r="D15" s="24">
        <v>2.0</v>
      </c>
      <c r="E15" s="24">
        <v>2.0</v>
      </c>
      <c r="F15" s="24">
        <v>5.0</v>
      </c>
      <c r="G15" s="24">
        <v>5.0</v>
      </c>
      <c r="H15" s="24">
        <v>5.0</v>
      </c>
      <c r="I15" s="24">
        <v>5.0</v>
      </c>
      <c r="J15" s="24">
        <v>5.0</v>
      </c>
      <c r="K15" s="24">
        <v>5.0</v>
      </c>
      <c r="L15" s="24">
        <v>5.0</v>
      </c>
      <c r="M15" s="24">
        <v>5.0</v>
      </c>
      <c r="N15" s="149"/>
      <c r="O15" s="36"/>
      <c r="P15" s="76"/>
      <c r="Q15" s="76"/>
      <c r="R15" s="76"/>
      <c r="S15" s="76"/>
      <c r="T15" s="76"/>
    </row>
    <row r="16" spans="8:8">
      <c r="A16" s="23" t="s">
        <v>188</v>
      </c>
      <c r="B16" s="23"/>
      <c r="C16" s="24"/>
      <c r="D16" s="24"/>
      <c r="E16" s="24"/>
      <c r="F16" s="24"/>
      <c r="G16" s="24">
        <v>15.0</v>
      </c>
      <c r="H16" s="24">
        <v>15.0</v>
      </c>
      <c r="I16" s="24">
        <v>35.0</v>
      </c>
      <c r="J16" s="24">
        <v>35.0</v>
      </c>
      <c r="K16" s="24">
        <v>35.0</v>
      </c>
      <c r="L16" s="24">
        <v>35.0</v>
      </c>
      <c r="M16" s="24">
        <v>35.0</v>
      </c>
      <c r="N16" s="149"/>
      <c r="O16" s="36"/>
      <c r="P16" s="76"/>
      <c r="Q16" s="76"/>
      <c r="R16" s="76"/>
      <c r="S16" s="76"/>
      <c r="T16" s="76"/>
    </row>
    <row r="17" spans="8:8">
      <c r="A17" s="23" t="s">
        <v>189</v>
      </c>
      <c r="B17" s="23" t="s">
        <v>150</v>
      </c>
      <c r="C17" s="24"/>
      <c r="D17" s="24"/>
      <c r="E17" s="24">
        <v>5.0</v>
      </c>
      <c r="F17" s="24">
        <v>8.0</v>
      </c>
      <c r="G17" s="24">
        <v>27.0</v>
      </c>
      <c r="H17" s="24">
        <v>46.0</v>
      </c>
      <c r="I17" s="24">
        <v>59.0</v>
      </c>
      <c r="J17" s="24">
        <v>56.0</v>
      </c>
      <c r="K17" s="24">
        <v>56.0</v>
      </c>
      <c r="L17" s="24">
        <v>56.0</v>
      </c>
      <c r="M17" s="24">
        <v>37.0</v>
      </c>
      <c r="N17" s="149"/>
      <c r="O17" s="36"/>
    </row>
    <row r="18" spans="8:8">
      <c r="A18" s="23" t="s">
        <v>190</v>
      </c>
      <c r="B18" s="23" t="s">
        <v>150</v>
      </c>
      <c r="C18" s="24"/>
      <c r="D18" s="24"/>
      <c r="E18" s="24">
        <v>2.0</v>
      </c>
      <c r="F18" s="24">
        <v>4.0</v>
      </c>
      <c r="G18" s="24">
        <v>7.0</v>
      </c>
      <c r="H18" s="24">
        <v>14.0</v>
      </c>
      <c r="I18" s="24">
        <v>18.0</v>
      </c>
      <c r="J18" s="24">
        <v>14.0</v>
      </c>
      <c r="K18" s="24">
        <v>14.0</v>
      </c>
      <c r="L18" s="24">
        <v>14.0</v>
      </c>
      <c r="M18" s="24">
        <v>9.0</v>
      </c>
      <c r="N18" s="149"/>
    </row>
    <row r="19" spans="8:8">
      <c r="A19" s="23" t="s">
        <v>5</v>
      </c>
      <c r="B19" s="23" t="s">
        <v>150</v>
      </c>
      <c r="C19" s="24">
        <v>3.0</v>
      </c>
      <c r="D19" s="24">
        <v>3.0</v>
      </c>
      <c r="E19" s="24">
        <v>3.0</v>
      </c>
      <c r="F19" s="24">
        <v>3.0</v>
      </c>
      <c r="G19" s="24">
        <v>3.0</v>
      </c>
      <c r="H19" s="24">
        <v>3.0</v>
      </c>
      <c r="I19" s="24">
        <v>3.0</v>
      </c>
      <c r="J19" s="24">
        <v>3.0</v>
      </c>
      <c r="K19" s="24">
        <v>3.0</v>
      </c>
      <c r="L19" s="24">
        <v>3.0</v>
      </c>
      <c r="M19" s="24">
        <v>3.0</v>
      </c>
      <c r="N19" s="149"/>
      <c r="Q19" s="36"/>
      <c r="R19" s="36"/>
      <c r="S19" s="36"/>
      <c r="T19" s="36"/>
      <c r="U19" s="36"/>
      <c r="V19" s="36"/>
      <c r="W19" s="36"/>
      <c r="X19" s="36"/>
      <c r="Y19" s="36"/>
      <c r="Z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8:8">
      <c r="A20" s="23" t="s">
        <v>34</v>
      </c>
      <c r="B20" s="23" t="s">
        <v>150</v>
      </c>
      <c r="C20" s="24">
        <f>SUM(C5:C19)</f>
        <v>85.0</v>
      </c>
      <c r="D20" s="24">
        <f t="shared" si="0" ref="D20:M20">SUM(D5:D19)</f>
        <v>30.0</v>
      </c>
      <c r="E20" s="24">
        <f t="shared" si="0"/>
        <v>36.0</v>
      </c>
      <c r="F20" s="24">
        <f t="shared" si="0"/>
        <v>43.0</v>
      </c>
      <c r="G20" s="24">
        <f t="shared" si="0"/>
        <v>83.0</v>
      </c>
      <c r="H20" s="24">
        <f t="shared" si="0"/>
        <v>109.0</v>
      </c>
      <c r="I20" s="24">
        <f t="shared" si="0"/>
        <v>150.0</v>
      </c>
      <c r="J20" s="24">
        <f t="shared" si="0"/>
        <v>143.0</v>
      </c>
      <c r="K20" s="24">
        <f t="shared" si="0"/>
        <v>143.0</v>
      </c>
      <c r="L20" s="24">
        <f t="shared" si="0"/>
        <v>143.0</v>
      </c>
      <c r="M20" s="24">
        <f t="shared" si="0"/>
        <v>119.0</v>
      </c>
      <c r="N20" s="149"/>
      <c r="P20" s="76"/>
      <c r="Q20" s="76"/>
      <c r="R20" s="76"/>
      <c r="S20" s="76"/>
      <c r="T20" s="76"/>
      <c r="U20" s="17"/>
      <c r="V20" s="17"/>
      <c r="W20" s="17"/>
      <c r="X20" s="17"/>
      <c r="Y20" s="17"/>
      <c r="Z20" s="17"/>
      <c r="AC20" s="37"/>
      <c r="AD20" s="36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8:8">
      <c r="A21" s="23" t="s">
        <v>35</v>
      </c>
      <c r="B21" s="151" t="s">
        <v>191</v>
      </c>
      <c r="C21" s="24">
        <f>C20*2.5</f>
        <v>212.5</v>
      </c>
      <c r="D21" s="24">
        <f t="shared" si="1" ref="D21:M21">D20*2.5</f>
        <v>75.0</v>
      </c>
      <c r="E21" s="24">
        <f t="shared" si="1"/>
        <v>90.0</v>
      </c>
      <c r="F21" s="24">
        <f t="shared" si="1"/>
        <v>107.5</v>
      </c>
      <c r="G21" s="24">
        <f t="shared" si="1"/>
        <v>207.5</v>
      </c>
      <c r="H21" s="24">
        <f t="shared" si="1"/>
        <v>272.5</v>
      </c>
      <c r="I21" s="24">
        <f t="shared" si="1"/>
        <v>375.0</v>
      </c>
      <c r="J21" s="24">
        <f t="shared" si="1"/>
        <v>357.5</v>
      </c>
      <c r="K21" s="24">
        <f t="shared" si="1"/>
        <v>357.5</v>
      </c>
      <c r="L21" s="24">
        <f t="shared" si="1"/>
        <v>357.5</v>
      </c>
      <c r="M21" s="24">
        <f t="shared" si="1"/>
        <v>297.5</v>
      </c>
      <c r="N21" s="149"/>
      <c r="P21" s="76"/>
      <c r="Q21" s="76"/>
      <c r="R21" s="76"/>
      <c r="S21" s="76"/>
      <c r="T21" s="76"/>
    </row>
    <row r="22" spans="8:8" customHeight="1">
      <c r="A22" s="95" t="s">
        <v>143</v>
      </c>
      <c r="B22" s="152" t="s">
        <v>17</v>
      </c>
      <c r="C22" s="43">
        <f>C21*1500</f>
        <v>318750.0</v>
      </c>
      <c r="D22" s="43">
        <f t="shared" si="2" ref="D22:M22">D21*1500</f>
        <v>112500.0</v>
      </c>
      <c r="E22" s="43">
        <f t="shared" si="2"/>
        <v>135000.0</v>
      </c>
      <c r="F22" s="43">
        <f t="shared" si="2"/>
        <v>161250.0</v>
      </c>
      <c r="G22" s="43">
        <f t="shared" si="2"/>
        <v>311250.0</v>
      </c>
      <c r="H22" s="43">
        <f t="shared" si="2"/>
        <v>408750.0</v>
      </c>
      <c r="I22" s="43">
        <f t="shared" si="2"/>
        <v>562500.0</v>
      </c>
      <c r="J22" s="43">
        <f t="shared" si="2"/>
        <v>536250.0</v>
      </c>
      <c r="K22" s="43">
        <f t="shared" si="2"/>
        <v>536250.0</v>
      </c>
      <c r="L22" s="43">
        <f t="shared" si="2"/>
        <v>536250.0</v>
      </c>
      <c r="M22" s="43">
        <f t="shared" si="2"/>
        <v>446250.0</v>
      </c>
      <c r="N22" s="149"/>
      <c r="P22" s="76"/>
      <c r="Q22" s="76"/>
      <c r="R22" s="76"/>
      <c r="S22" s="76"/>
      <c r="T22" s="76"/>
    </row>
    <row r="23" spans="8:8" s="17" ht="12.0" customFormat="1">
      <c r="A23" s="104"/>
      <c r="B23" s="104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149"/>
      <c r="P23" s="36"/>
      <c r="R23" s="66"/>
      <c r="S23" s="66"/>
      <c r="T23" s="66"/>
      <c r="U23" s="66"/>
      <c r="V23" s="66"/>
      <c r="W23" s="66"/>
      <c r="X23" s="66"/>
      <c r="Y23" s="66"/>
      <c r="Z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</row>
    <row r="24" spans="8:8">
      <c r="A24" s="95" t="s">
        <v>25</v>
      </c>
      <c r="B24" s="2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49"/>
    </row>
    <row r="25" spans="8:8">
      <c r="A25" s="19" t="s">
        <v>44</v>
      </c>
      <c r="B25" s="23" t="s">
        <v>26</v>
      </c>
      <c r="C25" s="153">
        <v>4000.0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49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8:8" ht="15.0" customHeight="1">
      <c r="A26" s="35" t="s">
        <v>474</v>
      </c>
      <c r="B26" s="23" t="s">
        <v>26</v>
      </c>
      <c r="C26" s="153">
        <f>16000*2</f>
        <v>32000.0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49"/>
      <c r="AC26" s="36"/>
    </row>
    <row r="27" spans="8:8" ht="23.25" customHeight="1">
      <c r="A27" s="99" t="s">
        <v>513</v>
      </c>
      <c r="B27" s="23" t="s">
        <v>26</v>
      </c>
      <c r="C27" s="153">
        <f>1100*30</f>
        <v>33000.0</v>
      </c>
      <c r="D27" s="153">
        <f>C27/10</f>
        <v>3300.0</v>
      </c>
      <c r="E27" s="153">
        <f>D27/3</f>
        <v>1100.0</v>
      </c>
      <c r="F27" s="153"/>
      <c r="G27" s="153"/>
      <c r="H27" s="153"/>
      <c r="I27" s="153"/>
      <c r="J27" s="153"/>
      <c r="K27" s="153"/>
      <c r="L27" s="153"/>
      <c r="M27" s="153"/>
      <c r="N27" s="149"/>
      <c r="P27" s="66"/>
    </row>
    <row r="28" spans="8:8" ht="13.5" customHeight="1">
      <c r="A28" s="154" t="s">
        <v>40</v>
      </c>
      <c r="B28" s="23" t="s">
        <v>37</v>
      </c>
      <c r="C28" s="153">
        <v>275.0</v>
      </c>
      <c r="D28" s="153">
        <v>550.0</v>
      </c>
      <c r="E28" s="153">
        <v>770.0</v>
      </c>
      <c r="F28" s="153">
        <v>770.0</v>
      </c>
      <c r="G28" s="153">
        <v>770.0</v>
      </c>
      <c r="H28" s="153">
        <v>770.0</v>
      </c>
      <c r="I28" s="153">
        <v>770.0</v>
      </c>
      <c r="J28" s="153">
        <v>770.0</v>
      </c>
      <c r="K28" s="153">
        <v>770.0</v>
      </c>
      <c r="L28" s="153">
        <v>770.0</v>
      </c>
      <c r="M28" s="153">
        <v>770.0</v>
      </c>
      <c r="N28" s="149"/>
      <c r="P28" s="66"/>
      <c r="R28" s="36"/>
      <c r="S28" s="36"/>
      <c r="T28" s="36"/>
      <c r="U28" s="36"/>
      <c r="V28" s="36"/>
      <c r="W28" s="36"/>
      <c r="X28" s="36"/>
      <c r="Y28" s="36"/>
      <c r="Z28" s="36"/>
    </row>
    <row r="29" spans="8:8" s="115" ht="12.0" customFormat="1">
      <c r="A29" s="35" t="s">
        <v>486</v>
      </c>
      <c r="B29" s="31" t="s">
        <v>26</v>
      </c>
      <c r="C29" s="32">
        <f>C28*273.5</f>
        <v>75212.5</v>
      </c>
      <c r="D29" s="32">
        <f t="shared" si="3" ref="D29:L29">D28*273.5</f>
        <v>150425.0</v>
      </c>
      <c r="E29" s="32">
        <f t="shared" si="3"/>
        <v>210595.0</v>
      </c>
      <c r="F29" s="32">
        <f t="shared" si="3"/>
        <v>210595.0</v>
      </c>
      <c r="G29" s="32">
        <f t="shared" si="3"/>
        <v>210595.0</v>
      </c>
      <c r="H29" s="32">
        <f t="shared" si="3"/>
        <v>210595.0</v>
      </c>
      <c r="I29" s="32">
        <f t="shared" si="3"/>
        <v>210595.0</v>
      </c>
      <c r="J29" s="32">
        <f t="shared" si="3"/>
        <v>210595.0</v>
      </c>
      <c r="K29" s="32">
        <f t="shared" si="3"/>
        <v>210595.0</v>
      </c>
      <c r="L29" s="32">
        <f t="shared" si="3"/>
        <v>210595.0</v>
      </c>
      <c r="M29" s="32">
        <f>M28*273.5</f>
        <v>210595.0</v>
      </c>
      <c r="N29" s="155"/>
      <c r="P29" s="156"/>
      <c r="Q29" s="41"/>
      <c r="R29" s="41"/>
      <c r="S29" s="41"/>
      <c r="T29" s="41"/>
      <c r="U29" s="41"/>
      <c r="V29" s="41"/>
      <c r="Y29" s="119"/>
      <c r="Z29" s="119"/>
    </row>
    <row r="30" spans="8:8">
      <c r="A30" s="154" t="s">
        <v>192</v>
      </c>
      <c r="B30" s="23" t="s">
        <v>26</v>
      </c>
      <c r="C30" s="153">
        <v>2000.0</v>
      </c>
      <c r="D30" s="153">
        <v>2000.0</v>
      </c>
      <c r="E30" s="153">
        <v>4000.0</v>
      </c>
      <c r="F30" s="153">
        <v>4000.0</v>
      </c>
      <c r="G30" s="153">
        <v>4000.0</v>
      </c>
      <c r="H30" s="153">
        <v>10000.0</v>
      </c>
      <c r="I30" s="153">
        <v>20000.0</v>
      </c>
      <c r="J30" s="153">
        <v>20000.0</v>
      </c>
      <c r="K30" s="153">
        <v>20000.0</v>
      </c>
      <c r="L30" s="153">
        <v>20000.0</v>
      </c>
      <c r="M30" s="153">
        <v>20000.0</v>
      </c>
      <c r="N30" s="149"/>
      <c r="P30" s="66"/>
      <c r="Y30" s="37"/>
      <c r="Z30" s="36"/>
    </row>
    <row r="31" spans="8:8">
      <c r="A31" s="126" t="s">
        <v>7</v>
      </c>
      <c r="B31" s="95" t="s">
        <v>26</v>
      </c>
      <c r="C31" s="43">
        <f>C25+C26+C27+C29+C30</f>
        <v>146212.5</v>
      </c>
      <c r="D31" s="43">
        <f t="shared" si="4" ref="D31:M31">D25+D26+D27+D29+D30</f>
        <v>155725.0</v>
      </c>
      <c r="E31" s="43">
        <f t="shared" si="4"/>
        <v>215695.0</v>
      </c>
      <c r="F31" s="43">
        <f t="shared" si="4"/>
        <v>214595.0</v>
      </c>
      <c r="G31" s="43">
        <f t="shared" si="4"/>
        <v>214595.0</v>
      </c>
      <c r="H31" s="43">
        <f t="shared" si="4"/>
        <v>220595.0</v>
      </c>
      <c r="I31" s="43">
        <f t="shared" si="4"/>
        <v>230595.0</v>
      </c>
      <c r="J31" s="43">
        <f t="shared" si="4"/>
        <v>230595.0</v>
      </c>
      <c r="K31" s="43">
        <f t="shared" si="4"/>
        <v>230595.0</v>
      </c>
      <c r="L31" s="43">
        <f t="shared" si="4"/>
        <v>230595.0</v>
      </c>
      <c r="M31" s="43">
        <f t="shared" si="4"/>
        <v>230595.0</v>
      </c>
      <c r="N31" s="149"/>
      <c r="P31" s="66"/>
    </row>
    <row r="32" spans="8:8">
      <c r="A32" s="44" t="s">
        <v>27</v>
      </c>
      <c r="B32" s="45" t="s">
        <v>26</v>
      </c>
      <c r="C32" s="46">
        <f>C31+C22</f>
        <v>464962.5</v>
      </c>
      <c r="D32" s="46">
        <f t="shared" si="5" ref="D32:M32">D31+D22</f>
        <v>268225.0</v>
      </c>
      <c r="E32" s="46">
        <f t="shared" si="5"/>
        <v>350695.0</v>
      </c>
      <c r="F32" s="46">
        <f t="shared" si="5"/>
        <v>375845.0</v>
      </c>
      <c r="G32" s="46">
        <f t="shared" si="5"/>
        <v>525845.0</v>
      </c>
      <c r="H32" s="46">
        <f>H31+H22</f>
        <v>629345.0</v>
      </c>
      <c r="I32" s="46">
        <f t="shared" si="5"/>
        <v>793095.0</v>
      </c>
      <c r="J32" s="46">
        <f t="shared" si="5"/>
        <v>766845.0</v>
      </c>
      <c r="K32" s="46">
        <f t="shared" si="5"/>
        <v>766845.0</v>
      </c>
      <c r="L32" s="46">
        <f t="shared" si="5"/>
        <v>766845.0</v>
      </c>
      <c r="M32" s="46">
        <f t="shared" si="5"/>
        <v>676845.0</v>
      </c>
      <c r="N32" s="149"/>
      <c r="P32" s="66"/>
      <c r="W32" s="17"/>
      <c r="X32" s="17"/>
    </row>
    <row r="33" spans="8:8" ht="12.0" customHeight="1">
      <c r="A33" s="23"/>
      <c r="B33" s="2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49"/>
      <c r="O33" s="75"/>
      <c r="P33" s="142"/>
    </row>
    <row r="34" spans="8:8" s="17" ht="13.5" customFormat="1" customHeight="1">
      <c r="A34" s="126" t="s">
        <v>18</v>
      </c>
      <c r="B34" s="2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49"/>
      <c r="AA34" s="66"/>
      <c r="AB34" s="66"/>
      <c r="AC34" s="142"/>
      <c r="AD34" s="66"/>
      <c r="AE34" s="66"/>
      <c r="AF34" s="66"/>
      <c r="AG34" s="66"/>
      <c r="AH34" s="66"/>
      <c r="AI34" s="66"/>
      <c r="AJ34" s="66"/>
      <c r="AK34" s="66"/>
      <c r="AL34" s="66"/>
      <c r="AM34" s="66"/>
    </row>
    <row r="35" spans="8:8" ht="14.25" customHeight="1">
      <c r="A35" s="23" t="s">
        <v>193</v>
      </c>
      <c r="B35" s="23"/>
      <c r="C35" s="153"/>
      <c r="D35" s="153"/>
      <c r="E35" s="153">
        <v>5.0</v>
      </c>
      <c r="F35" s="153">
        <v>12.0</v>
      </c>
      <c r="G35" s="153">
        <v>25.0</v>
      </c>
      <c r="H35" s="153">
        <v>35.0</v>
      </c>
      <c r="I35" s="153">
        <v>45.0</v>
      </c>
      <c r="J35" s="153">
        <v>60.0</v>
      </c>
      <c r="K35" s="153">
        <v>60.0</v>
      </c>
      <c r="L35" s="153">
        <v>60.0</v>
      </c>
      <c r="M35" s="153">
        <v>60.0</v>
      </c>
      <c r="N35" s="149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8:8" ht="24.0" customHeight="1">
      <c r="A36" s="99" t="s">
        <v>194</v>
      </c>
      <c r="B36" s="23"/>
      <c r="C36" s="153"/>
      <c r="D36" s="153"/>
      <c r="E36" s="153">
        <v>500.0</v>
      </c>
      <c r="F36" s="153">
        <v>800.0</v>
      </c>
      <c r="G36" s="153">
        <v>800.0</v>
      </c>
      <c r="H36" s="153">
        <v>990.0</v>
      </c>
      <c r="I36" s="153">
        <v>990.0</v>
      </c>
      <c r="J36" s="153">
        <v>990.0</v>
      </c>
      <c r="K36" s="153">
        <v>990.0</v>
      </c>
      <c r="L36" s="153">
        <v>990.0</v>
      </c>
      <c r="M36" s="153">
        <v>800.0</v>
      </c>
      <c r="N36" s="149"/>
      <c r="P36" s="66"/>
      <c r="AC36" s="36"/>
    </row>
    <row r="37" spans="8:8" ht="25.5" customHeight="1">
      <c r="A37" s="99" t="s">
        <v>195</v>
      </c>
      <c r="B37" s="23" t="s">
        <v>196</v>
      </c>
      <c r="C37" s="153"/>
      <c r="D37" s="153"/>
      <c r="E37" s="153">
        <f>(E36*E35)/30</f>
        <v>83.33333333333333</v>
      </c>
      <c r="F37" s="153">
        <f t="shared" si="6" ref="F37:M37">(F36*F35)/30</f>
        <v>320.0</v>
      </c>
      <c r="G37" s="153">
        <f t="shared" si="6"/>
        <v>666.6666666666666</v>
      </c>
      <c r="H37" s="153">
        <f t="shared" si="6"/>
        <v>1155.0</v>
      </c>
      <c r="I37" s="153">
        <f t="shared" si="6"/>
        <v>1485.0</v>
      </c>
      <c r="J37" s="153">
        <f t="shared" si="6"/>
        <v>1980.0</v>
      </c>
      <c r="K37" s="153">
        <f t="shared" si="6"/>
        <v>1980.0</v>
      </c>
      <c r="L37" s="153">
        <f t="shared" si="6"/>
        <v>1980.0</v>
      </c>
      <c r="M37" s="153">
        <f t="shared" si="6"/>
        <v>1600.0</v>
      </c>
      <c r="N37" s="149"/>
      <c r="O37" s="75"/>
      <c r="P37" s="157"/>
      <c r="R37" s="17"/>
      <c r="S37" s="17"/>
      <c r="T37" s="17"/>
      <c r="U37" s="17"/>
      <c r="V37" s="17"/>
      <c r="W37" s="17"/>
      <c r="X37" s="17"/>
      <c r="Y37" s="17"/>
      <c r="Z37" s="17"/>
    </row>
    <row r="38" spans="8:8" ht="25.5" customHeight="1">
      <c r="A38" s="52" t="s">
        <v>496</v>
      </c>
      <c r="B38" s="53" t="s">
        <v>26</v>
      </c>
      <c r="C38" s="54"/>
      <c r="D38" s="54"/>
      <c r="E38" s="54">
        <f>E37*333.24</f>
        <v>27770.0</v>
      </c>
      <c r="F38" s="54">
        <f t="shared" si="7" ref="F38:L38">F37*333.24</f>
        <v>106636.8</v>
      </c>
      <c r="G38" s="54">
        <f t="shared" si="7"/>
        <v>222160.0</v>
      </c>
      <c r="H38" s="54">
        <f t="shared" si="7"/>
        <v>384892.2</v>
      </c>
      <c r="I38" s="54">
        <f t="shared" si="7"/>
        <v>494861.4</v>
      </c>
      <c r="J38" s="54">
        <f t="shared" si="7"/>
        <v>659815.2000000001</v>
      </c>
      <c r="K38" s="54">
        <f t="shared" si="7"/>
        <v>659815.2000000001</v>
      </c>
      <c r="L38" s="54">
        <f t="shared" si="7"/>
        <v>659815.2000000001</v>
      </c>
      <c r="M38" s="54">
        <f>M37*333.24</f>
        <v>533184.0</v>
      </c>
      <c r="N38" s="149"/>
      <c r="O38" s="75"/>
      <c r="P38" s="142"/>
      <c r="AC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8:8" ht="14.25" customHeight="1">
      <c r="A39" s="44" t="s">
        <v>19</v>
      </c>
      <c r="B39" s="45" t="s">
        <v>26</v>
      </c>
      <c r="C39" s="55">
        <f>C38-C32</f>
        <v>-464962.5</v>
      </c>
      <c r="D39" s="55">
        <f t="shared" si="8" ref="D39:M39">D38-D32</f>
        <v>-268225.0</v>
      </c>
      <c r="E39" s="55">
        <f t="shared" si="8"/>
        <v>-322925.0</v>
      </c>
      <c r="F39" s="55">
        <f t="shared" si="8"/>
        <v>-269208.2</v>
      </c>
      <c r="G39" s="55">
        <f t="shared" si="8"/>
        <v>-303685.0</v>
      </c>
      <c r="H39" s="55">
        <f t="shared" si="8"/>
        <v>-244452.8</v>
      </c>
      <c r="I39" s="55">
        <f t="shared" si="8"/>
        <v>-298233.6</v>
      </c>
      <c r="J39" s="55">
        <f t="shared" si="8"/>
        <v>-107029.80000000005</v>
      </c>
      <c r="K39" s="55">
        <f t="shared" si="8"/>
        <v>-107029.80000000005</v>
      </c>
      <c r="L39" s="55">
        <f t="shared" si="8"/>
        <v>-107029.80000000005</v>
      </c>
      <c r="M39" s="55">
        <f t="shared" si="8"/>
        <v>-143661.0</v>
      </c>
      <c r="N39" s="149"/>
      <c r="P39" s="66"/>
      <c r="AC39" s="142"/>
    </row>
    <row r="40" spans="8:8" ht="13.5" customHeight="1">
      <c r="A40" s="158" t="s">
        <v>59</v>
      </c>
      <c r="B40" s="84" t="s">
        <v>49</v>
      </c>
      <c r="C40" s="59"/>
      <c r="D40" s="59"/>
      <c r="E40" s="59"/>
      <c r="F40" s="59"/>
      <c r="G40" s="59"/>
      <c r="H40" s="59"/>
      <c r="I40" s="59"/>
      <c r="J40" s="60">
        <f>J32/J37</f>
        <v>387.29545454545456</v>
      </c>
      <c r="K40" s="60"/>
      <c r="L40" s="60"/>
      <c r="M40" s="60"/>
      <c r="N40" s="149"/>
      <c r="P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8:8" customHeight="1">
      <c r="C41" s="159"/>
      <c r="D41" s="159"/>
      <c r="E41" s="159"/>
      <c r="F41" s="159"/>
      <c r="G41" s="159"/>
      <c r="H41" s="159"/>
      <c r="I41" s="160"/>
      <c r="J41" s="160"/>
      <c r="K41" s="159"/>
      <c r="L41" s="159"/>
      <c r="M41" s="159"/>
      <c r="P41" s="142"/>
      <c r="AC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8:8" customHeight="1">
      <c r="I42" s="68"/>
      <c r="J42" s="68"/>
      <c r="P42" s="142"/>
      <c r="AC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8:8" customHeight="1">
      <c r="I43" s="68"/>
      <c r="J43" s="68"/>
      <c r="P43" s="142"/>
      <c r="AC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8:8" customHeight="1">
      <c r="I44" s="68"/>
      <c r="J44" s="68"/>
      <c r="P44" s="142"/>
      <c r="AC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8:8" s="17" ht="12.0" customFormat="1" customHeight="1">
      <c r="A45" s="142" t="s">
        <v>60</v>
      </c>
      <c r="B45" s="66" t="s">
        <v>458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8"/>
      <c r="Q45" s="66"/>
      <c r="AC45" s="142"/>
      <c r="AD45" s="66"/>
      <c r="AE45" s="66"/>
      <c r="AF45" s="66"/>
      <c r="AG45" s="66"/>
      <c r="AH45" s="66"/>
      <c r="AI45" s="66"/>
      <c r="AJ45" s="66"/>
      <c r="AK45" s="66"/>
      <c r="AL45" s="66"/>
      <c r="AM45" s="66"/>
    </row>
    <row r="46" spans="8:8" s="17" ht="12.0" customFormat="1">
      <c r="A46" s="66" t="s">
        <v>197</v>
      </c>
      <c r="B46" s="36"/>
      <c r="C46" s="61"/>
      <c r="D46" s="61"/>
      <c r="E46" s="61"/>
      <c r="F46" s="61"/>
      <c r="G46" s="61"/>
      <c r="H46" s="61"/>
      <c r="I46" s="61"/>
      <c r="J46" s="61" t="s">
        <v>516</v>
      </c>
      <c r="K46" s="61"/>
      <c r="L46" s="61"/>
      <c r="M46" s="61"/>
      <c r="N46" s="68"/>
      <c r="P46" s="37"/>
      <c r="AD46" s="66"/>
    </row>
    <row r="47" spans="8:8" s="17" ht="12.0" customFormat="1">
      <c r="A47" s="66" t="s">
        <v>198</v>
      </c>
      <c r="B47" s="36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8"/>
      <c r="P47" s="37"/>
      <c r="Q47" s="66"/>
      <c r="R47" s="66"/>
      <c r="X47" s="66"/>
      <c r="Y47" s="66"/>
      <c r="Z47" s="66"/>
      <c r="AA47" s="66"/>
      <c r="AB47" s="66"/>
      <c r="AC47" s="37"/>
    </row>
    <row r="48" spans="8:8" s="17" ht="12.0" customFormat="1"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8" t="s">
        <v>103</v>
      </c>
      <c r="P48" s="37"/>
      <c r="Q48" s="66"/>
      <c r="R48" s="66"/>
      <c r="X48" s="66"/>
      <c r="Y48" s="66"/>
      <c r="Z48" s="66"/>
      <c r="AA48" s="66"/>
      <c r="AB48" s="66"/>
      <c r="AC48" s="66"/>
    </row>
    <row r="49" spans="8:8">
      <c r="S49" s="36"/>
      <c r="T49" s="36"/>
      <c r="U49" s="36"/>
      <c r="V49" s="36"/>
      <c r="W49" s="36"/>
    </row>
    <row r="50" spans="8:8" ht="24.75" customHeight="1">
      <c r="C50" s="96"/>
      <c r="D50" s="96"/>
      <c r="E50" s="96"/>
      <c r="F50" s="96"/>
      <c r="G50" s="96"/>
    </row>
    <row r="51" spans="8:8">
      <c r="A51" s="36" t="s">
        <v>97</v>
      </c>
      <c r="B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8:8">
      <c r="A52" s="36" t="s">
        <v>199</v>
      </c>
      <c r="B52" s="98"/>
      <c r="C52" s="161"/>
      <c r="D52" s="161"/>
      <c r="E52" s="161"/>
      <c r="F52" s="161"/>
      <c r="G52" s="161"/>
      <c r="H52" s="161"/>
      <c r="R52" s="36"/>
      <c r="S52" s="36"/>
      <c r="T52" s="36"/>
      <c r="U52" s="36"/>
      <c r="V52" s="36"/>
      <c r="W52" s="36"/>
      <c r="X52" s="36"/>
      <c r="Y52" s="36"/>
      <c r="Z52" s="36"/>
    </row>
    <row r="53" spans="8:8" s="8" customFormat="1">
      <c r="A53" s="66" t="s">
        <v>407</v>
      </c>
      <c r="B53" s="61"/>
      <c r="C53" s="2"/>
      <c r="D53" s="2"/>
      <c r="E53" s="2"/>
      <c r="F53" s="2"/>
      <c r="G53" s="61"/>
      <c r="H53" s="2"/>
      <c r="I53" s="2"/>
      <c r="J53" s="2"/>
      <c r="K53" s="2"/>
      <c r="L53" s="2"/>
      <c r="M53" s="34"/>
      <c r="N53" s="34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8:8">
      <c r="A54" s="66" t="s">
        <v>414</v>
      </c>
      <c r="B54" s="8"/>
      <c r="C54" s="34"/>
      <c r="D54" s="34"/>
      <c r="E54" s="34"/>
      <c r="F54" s="34"/>
      <c r="G54" s="34"/>
      <c r="H54" s="34"/>
      <c r="R54" s="36"/>
      <c r="S54" s="36"/>
      <c r="T54" s="36"/>
      <c r="U54" s="36"/>
      <c r="V54" s="36"/>
      <c r="W54" s="36"/>
      <c r="X54" s="36"/>
      <c r="Y54" s="36"/>
      <c r="Z54" s="36"/>
    </row>
    <row r="55" spans="8:8">
      <c r="A55" s="66" t="s">
        <v>415</v>
      </c>
      <c r="B55" s="8"/>
      <c r="C55" s="34"/>
      <c r="D55" s="34"/>
      <c r="E55" s="34"/>
      <c r="F55" s="34"/>
      <c r="G55" s="34"/>
      <c r="H55" s="34"/>
      <c r="R55" s="36"/>
      <c r="S55" s="36"/>
      <c r="T55" s="36"/>
      <c r="U55" s="36"/>
      <c r="V55" s="36"/>
      <c r="W55" s="36"/>
      <c r="X55" s="36"/>
      <c r="Y55" s="36"/>
      <c r="Z55" s="36"/>
    </row>
    <row r="56" spans="8:8">
      <c r="A56" s="98" t="s">
        <v>416</v>
      </c>
      <c r="B56" s="8"/>
      <c r="C56" s="34"/>
      <c r="D56" s="34"/>
      <c r="E56" s="34"/>
      <c r="F56" s="34"/>
      <c r="G56" s="34"/>
      <c r="H56" s="34"/>
      <c r="R56" s="36"/>
      <c r="S56" s="36"/>
      <c r="T56" s="36"/>
      <c r="U56" s="36"/>
      <c r="V56" s="36"/>
      <c r="W56" s="36"/>
      <c r="X56" s="36"/>
      <c r="Y56" s="36"/>
      <c r="Z56" s="36"/>
    </row>
    <row r="57" spans="8:8">
      <c r="A57" s="98" t="s">
        <v>200</v>
      </c>
      <c r="R57" s="36"/>
      <c r="S57" s="36"/>
      <c r="T57" s="36"/>
      <c r="U57" s="36"/>
      <c r="V57" s="36"/>
      <c r="W57" s="36"/>
      <c r="X57" s="36"/>
      <c r="Y57" s="36"/>
      <c r="Z57" s="36"/>
    </row>
    <row r="58" spans="8:8">
      <c r="A58" s="98" t="s">
        <v>417</v>
      </c>
      <c r="R58" s="36"/>
      <c r="S58" s="36"/>
      <c r="T58" s="36"/>
      <c r="U58" s="36"/>
      <c r="V58" s="36"/>
      <c r="W58" s="36"/>
      <c r="X58" s="36"/>
      <c r="Y58" s="36"/>
      <c r="Z58" s="36"/>
    </row>
    <row r="59" spans="8:8">
      <c r="A59" s="5" t="s">
        <v>170</v>
      </c>
      <c r="B59" s="4"/>
      <c r="C59" s="4"/>
      <c r="D59" s="4"/>
      <c r="E59" s="4"/>
      <c r="F59" s="4"/>
      <c r="G59" s="4"/>
      <c r="H59" s="4"/>
      <c r="P59" s="37"/>
    </row>
    <row r="60" spans="8:8">
      <c r="P60" s="37"/>
    </row>
    <row r="61" spans="8:8">
      <c r="P61" s="37"/>
    </row>
    <row r="62" spans="8:8" ht="24.75" customHeight="1">
      <c r="P62" s="66"/>
    </row>
    <row r="63" spans="8:8">
      <c r="P63" s="66"/>
    </row>
    <row r="64" spans="8:8">
      <c r="P64" s="66"/>
    </row>
    <row r="65" spans="8:8">
      <c r="P65" s="66"/>
    </row>
    <row r="66" spans="8:8">
      <c r="P66" s="66"/>
    </row>
    <row r="67" spans="8:8">
      <c r="P67" s="66"/>
    </row>
    <row r="68" spans="8:8">
      <c r="P68" s="66"/>
    </row>
    <row r="69" spans="8:8">
      <c r="P69" s="66"/>
    </row>
    <row r="70" spans="8:8">
      <c r="P70" s="66"/>
    </row>
    <row r="71" spans="8:8">
      <c r="P71" s="66"/>
    </row>
    <row r="72" spans="8:8" ht="15.75" customHeight="1"/>
    <row r="73" spans="8:8" ht="15.75" customHeight="1">
      <c r="I73" s="161"/>
      <c r="P73" s="66"/>
    </row>
    <row r="74" spans="8:8" s="98" customFormat="1">
      <c r="A74" s="66"/>
      <c r="B74" s="66"/>
      <c r="C74" s="76"/>
      <c r="D74" s="76"/>
      <c r="E74" s="76"/>
      <c r="F74" s="76"/>
      <c r="G74" s="76"/>
      <c r="H74" s="76"/>
      <c r="I74" s="34"/>
      <c r="J74" s="34"/>
      <c r="K74" s="34"/>
      <c r="L74" s="34"/>
      <c r="M74" s="161"/>
      <c r="N74" s="89"/>
    </row>
    <row r="75" spans="8:8" s="8" customFormat="1">
      <c r="A75" s="66"/>
      <c r="B75" s="66"/>
      <c r="C75" s="76"/>
      <c r="D75" s="76"/>
      <c r="E75" s="76"/>
      <c r="F75" s="76"/>
      <c r="G75" s="76"/>
      <c r="H75" s="76"/>
      <c r="I75" s="34"/>
      <c r="J75" s="34"/>
      <c r="K75" s="34"/>
      <c r="L75" s="34"/>
      <c r="M75" s="34"/>
      <c r="N75" s="89"/>
      <c r="P75" s="5"/>
    </row>
    <row r="76" spans="8:8" s="8" customFormat="1">
      <c r="A76" s="66"/>
      <c r="B76" s="66"/>
      <c r="C76" s="76"/>
      <c r="D76" s="76"/>
      <c r="E76" s="76"/>
      <c r="F76" s="76"/>
      <c r="G76" s="76"/>
      <c r="H76" s="76"/>
      <c r="I76" s="34"/>
      <c r="J76" s="34"/>
      <c r="K76" s="34"/>
      <c r="L76" s="34"/>
      <c r="M76" s="34"/>
      <c r="N76" s="89"/>
      <c r="P76" s="5"/>
    </row>
    <row r="77" spans="8:8" s="8" customFormat="1">
      <c r="A77" s="66"/>
      <c r="B77" s="6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34"/>
      <c r="N77" s="89"/>
      <c r="P77" s="5"/>
    </row>
    <row r="78" spans="8:8" s="5" customFormat="1">
      <c r="A78" s="66"/>
      <c r="B78" s="66"/>
      <c r="C78" s="76"/>
      <c r="D78" s="76"/>
      <c r="E78" s="76"/>
      <c r="F78" s="76"/>
      <c r="G78" s="76"/>
      <c r="H78" s="76"/>
      <c r="I78" s="4"/>
      <c r="J78" s="4"/>
      <c r="K78" s="4"/>
      <c r="L78" s="4"/>
      <c r="N78" s="146"/>
      <c r="O78" s="4"/>
    </row>
    <row r="79" spans="8:8" s="8" customFormat="1">
      <c r="A79" s="66"/>
      <c r="B79" s="6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34"/>
      <c r="N79" s="89"/>
      <c r="P79" s="5"/>
    </row>
  </sheetData>
  <pageMargins left="0.7" right="0.7" top="0.75" bottom="0.75" header="0.3" footer="0.3"/>
  <pageSetup paperSize="9" scale="83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L59"/>
  <sheetViews>
    <sheetView workbookViewId="0" zoomScale="107">
      <selection activeCell="A1" sqref="A1:M1"/>
    </sheetView>
  </sheetViews>
  <sheetFormatPr defaultRowHeight="12.75" defaultColWidth="9"/>
  <cols>
    <col min="1" max="1" customWidth="1" width="25.0" style="66"/>
    <col min="2" max="2" customWidth="1" width="8.0" style="66"/>
    <col min="3" max="3" customWidth="1" width="10.855469" style="76"/>
    <col min="4" max="4" customWidth="1" width="10.7109375" style="76"/>
    <col min="5" max="5" customWidth="1" width="12.285156" style="76"/>
    <col min="6" max="6" customWidth="1" width="11.855469" style="76"/>
    <col min="7" max="7" customWidth="1" width="12.5703125" style="76"/>
    <col min="8" max="8" customWidth="1" width="13.855469" style="76"/>
    <col min="9" max="9" customWidth="1" width="13.425781" style="76"/>
    <col min="10" max="10" customWidth="1" width="12.285156" style="76"/>
    <col min="11" max="11" customWidth="1" width="12.140625" style="76"/>
    <col min="12" max="12" customWidth="1" width="12.285156" style="76"/>
    <col min="13" max="13" customWidth="1" width="13.140625" style="76"/>
    <col min="14" max="14" customWidth="1" width="12.5703125" style="68"/>
    <col min="15" max="15" customWidth="1" width="16.285156" style="66"/>
    <col min="16" max="16" customWidth="1" width="11.5703125" style="66"/>
    <col min="17" max="17" customWidth="1" width="8.425781" style="66"/>
    <col min="18" max="18" customWidth="1" width="9.285156" style="66"/>
    <col min="19" max="19" customWidth="1" width="8.140625" style="66"/>
    <col min="20" max="20" customWidth="1" width="7.140625" style="66"/>
    <col min="21" max="21" customWidth="1" width="7.4257812" style="66"/>
    <col min="22" max="22" customWidth="1" width="7.7109375" style="66"/>
    <col min="23" max="23" customWidth="1" width="7.2851562" style="66"/>
    <col min="24" max="24" customWidth="0" width="9.285156" style="66"/>
    <col min="25" max="25" customWidth="1" width="8.855469" style="66"/>
    <col min="26" max="26" customWidth="1" width="8.425781" style="66"/>
    <col min="27" max="27" customWidth="1" width="13.285156" style="66"/>
    <col min="28" max="34" customWidth="0" width="9.285156" style="66"/>
    <col min="35" max="16384" customWidth="0" width="9.285156" style="98"/>
  </cols>
  <sheetData>
    <row r="1" spans="8:8" ht="20.25" customHeight="1">
      <c r="A1" s="162" t="s">
        <v>521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P1" s="36"/>
    </row>
    <row r="2" spans="8:8" s="36" ht="12.0" customFormat="1">
      <c r="A2" s="95"/>
      <c r="B2" s="95" t="s">
        <v>2</v>
      </c>
      <c r="C2" s="147" t="s">
        <v>70</v>
      </c>
      <c r="D2" s="147" t="s">
        <v>71</v>
      </c>
      <c r="E2" s="147" t="s">
        <v>72</v>
      </c>
      <c r="F2" s="147" t="s">
        <v>66</v>
      </c>
      <c r="G2" s="147" t="s">
        <v>73</v>
      </c>
      <c r="H2" s="147" t="s">
        <v>74</v>
      </c>
      <c r="I2" s="147" t="s">
        <v>75</v>
      </c>
      <c r="J2" s="147" t="s">
        <v>76</v>
      </c>
      <c r="K2" s="147" t="s">
        <v>77</v>
      </c>
      <c r="L2" s="147" t="s">
        <v>202</v>
      </c>
      <c r="M2" s="147" t="s">
        <v>203</v>
      </c>
      <c r="N2" s="69"/>
    </row>
    <row r="3" spans="8:8">
      <c r="A3" s="95" t="s">
        <v>22</v>
      </c>
      <c r="B3" s="23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8:8">
      <c r="A4" s="95" t="s">
        <v>96</v>
      </c>
      <c r="B4" s="23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8:8" ht="24.0">
      <c r="A5" s="99" t="s">
        <v>181</v>
      </c>
      <c r="B5" s="23" t="s">
        <v>204</v>
      </c>
      <c r="C5" s="24">
        <v>5.0</v>
      </c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8:8">
      <c r="A6" s="23" t="s">
        <v>182</v>
      </c>
      <c r="B6" s="23" t="s">
        <v>204</v>
      </c>
      <c r="C6" s="24">
        <v>40.0</v>
      </c>
      <c r="D6" s="24">
        <v>15.0</v>
      </c>
      <c r="E6" s="24">
        <v>15.0</v>
      </c>
      <c r="F6" s="24">
        <v>15.0</v>
      </c>
      <c r="G6" s="24">
        <v>15.0</v>
      </c>
      <c r="H6" s="24">
        <v>15.0</v>
      </c>
      <c r="I6" s="24">
        <v>15.0</v>
      </c>
      <c r="J6" s="24">
        <v>15.0</v>
      </c>
      <c r="K6" s="24">
        <v>15.0</v>
      </c>
      <c r="L6" s="24">
        <v>15.0</v>
      </c>
      <c r="M6" s="24">
        <v>15.0</v>
      </c>
    </row>
    <row r="7" spans="8:8">
      <c r="A7" s="23" t="s">
        <v>33</v>
      </c>
      <c r="B7" s="23" t="s">
        <v>204</v>
      </c>
      <c r="C7" s="24">
        <v>14.0</v>
      </c>
      <c r="D7" s="24"/>
      <c r="E7" s="24"/>
      <c r="F7" s="24"/>
      <c r="G7" s="24"/>
      <c r="H7" s="24"/>
      <c r="I7" s="24"/>
      <c r="J7" s="24"/>
      <c r="K7" s="24"/>
      <c r="L7" s="24"/>
      <c r="M7" s="24"/>
      <c r="P7" s="17"/>
      <c r="Q7" s="17"/>
      <c r="R7" s="17"/>
      <c r="S7" s="17"/>
      <c r="T7" s="17"/>
    </row>
    <row r="8" spans="8:8">
      <c r="A8" s="99" t="s">
        <v>63</v>
      </c>
      <c r="B8" s="23" t="s">
        <v>204</v>
      </c>
      <c r="C8" s="24">
        <v>10.0</v>
      </c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8:8">
      <c r="A9" s="99" t="s">
        <v>205</v>
      </c>
      <c r="B9" s="23" t="s">
        <v>204</v>
      </c>
      <c r="C9" s="24">
        <v>6.0</v>
      </c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8:8">
      <c r="A10" s="23" t="s">
        <v>42</v>
      </c>
      <c r="B10" s="23" t="s">
        <v>204</v>
      </c>
      <c r="C10" s="24">
        <v>4.0</v>
      </c>
      <c r="D10" s="24">
        <v>2.0</v>
      </c>
      <c r="E10" s="24">
        <v>1.0</v>
      </c>
      <c r="F10" s="24"/>
      <c r="G10" s="24"/>
      <c r="H10" s="24"/>
      <c r="I10" s="24"/>
      <c r="J10" s="24"/>
      <c r="K10" s="24"/>
      <c r="L10" s="24"/>
      <c r="M10" s="24"/>
      <c r="P10" s="17"/>
      <c r="Q10" s="17"/>
      <c r="R10" s="17"/>
      <c r="S10" s="17"/>
      <c r="T10" s="17"/>
    </row>
    <row r="11" spans="8:8">
      <c r="A11" s="23" t="s">
        <v>206</v>
      </c>
      <c r="B11" s="23" t="s">
        <v>204</v>
      </c>
      <c r="C11" s="24">
        <v>8.0</v>
      </c>
      <c r="D11" s="24">
        <v>12.0</v>
      </c>
      <c r="E11" s="24">
        <v>12.0</v>
      </c>
      <c r="F11" s="24">
        <v>12.0</v>
      </c>
      <c r="G11" s="24">
        <v>12.0</v>
      </c>
      <c r="H11" s="24">
        <v>12.0</v>
      </c>
      <c r="I11" s="24">
        <v>12.0</v>
      </c>
      <c r="J11" s="24">
        <v>12.0</v>
      </c>
      <c r="K11" s="24">
        <v>12.0</v>
      </c>
      <c r="L11" s="24">
        <v>12.0</v>
      </c>
      <c r="M11" s="24">
        <v>12.0</v>
      </c>
      <c r="AA11" s="17"/>
      <c r="AB11" s="17"/>
      <c r="AC11" s="17"/>
      <c r="AD11" s="37"/>
      <c r="AE11" s="17"/>
      <c r="AF11" s="17"/>
      <c r="AG11" s="17"/>
      <c r="AH11" s="17"/>
      <c r="AI11" s="163"/>
      <c r="AJ11" s="163"/>
      <c r="AK11" s="163"/>
    </row>
    <row r="12" spans="8:8">
      <c r="A12" s="23" t="s">
        <v>11</v>
      </c>
      <c r="B12" s="23" t="s">
        <v>204</v>
      </c>
      <c r="C12" s="24">
        <v>1.0</v>
      </c>
      <c r="D12" s="24">
        <v>2.0</v>
      </c>
      <c r="E12" s="24">
        <v>2.0</v>
      </c>
      <c r="F12" s="24">
        <v>2.0</v>
      </c>
      <c r="G12" s="24">
        <v>2.0</v>
      </c>
      <c r="H12" s="24">
        <v>2.0</v>
      </c>
      <c r="I12" s="24">
        <v>2.0</v>
      </c>
      <c r="J12" s="24">
        <v>2.0</v>
      </c>
      <c r="K12" s="24">
        <v>2.0</v>
      </c>
      <c r="L12" s="24">
        <v>2.0</v>
      </c>
      <c r="M12" s="24">
        <v>2.0</v>
      </c>
      <c r="AB12" s="17"/>
      <c r="AC12" s="17"/>
      <c r="AD12" s="17"/>
      <c r="AE12" s="17"/>
      <c r="AF12" s="17"/>
      <c r="AG12" s="17"/>
      <c r="AH12" s="17"/>
      <c r="AI12" s="163"/>
      <c r="AJ12" s="164"/>
      <c r="AK12" s="164"/>
    </row>
    <row r="13" spans="8:8">
      <c r="A13" s="23" t="s">
        <v>21</v>
      </c>
      <c r="B13" s="23" t="s">
        <v>204</v>
      </c>
      <c r="C13" s="24">
        <v>1.0</v>
      </c>
      <c r="D13" s="24">
        <v>5.0</v>
      </c>
      <c r="E13" s="24">
        <v>8.0</v>
      </c>
      <c r="F13" s="24">
        <v>8.0</v>
      </c>
      <c r="G13" s="24">
        <v>8.0</v>
      </c>
      <c r="H13" s="24">
        <v>8.0</v>
      </c>
      <c r="I13" s="24">
        <v>8.0</v>
      </c>
      <c r="J13" s="24">
        <v>8.0</v>
      </c>
      <c r="K13" s="24">
        <v>8.0</v>
      </c>
      <c r="L13" s="24">
        <v>8.0</v>
      </c>
      <c r="M13" s="24">
        <v>8.0</v>
      </c>
      <c r="P13" s="17"/>
      <c r="Q13" s="17"/>
      <c r="R13" s="37"/>
      <c r="S13" s="37"/>
      <c r="AF13" s="98"/>
      <c r="AG13" s="98"/>
      <c r="AH13" s="98"/>
    </row>
    <row r="14" spans="8:8">
      <c r="A14" s="23" t="s">
        <v>14</v>
      </c>
      <c r="B14" s="23" t="s">
        <v>204</v>
      </c>
      <c r="C14" s="24"/>
      <c r="D14" s="24">
        <v>12.0</v>
      </c>
      <c r="E14" s="24">
        <v>32.0</v>
      </c>
      <c r="F14" s="24">
        <v>48.0</v>
      </c>
      <c r="G14" s="24">
        <v>48.0</v>
      </c>
      <c r="H14" s="24">
        <v>50.0</v>
      </c>
      <c r="I14" s="24">
        <v>72.0</v>
      </c>
      <c r="J14" s="24">
        <v>90.0</v>
      </c>
      <c r="K14" s="24">
        <v>90.0</v>
      </c>
      <c r="L14" s="24">
        <v>80.0</v>
      </c>
      <c r="M14" s="24">
        <v>72.0</v>
      </c>
      <c r="AA14" s="98"/>
      <c r="AB14" s="98"/>
      <c r="AC14" s="98"/>
      <c r="AD14" s="98"/>
      <c r="AE14" s="98"/>
      <c r="AF14" s="98"/>
      <c r="AG14" s="98"/>
      <c r="AH14" s="98"/>
    </row>
    <row r="15" spans="8:8" ht="13.5" customHeight="1">
      <c r="A15" s="23" t="s">
        <v>207</v>
      </c>
      <c r="B15" s="23" t="s">
        <v>204</v>
      </c>
      <c r="C15" s="24"/>
      <c r="D15" s="24">
        <v>4.0</v>
      </c>
      <c r="E15" s="24">
        <v>8.0</v>
      </c>
      <c r="F15" s="24">
        <v>17.0</v>
      </c>
      <c r="G15" s="24">
        <v>17.0</v>
      </c>
      <c r="H15" s="24">
        <v>20.0</v>
      </c>
      <c r="I15" s="24">
        <v>29.0</v>
      </c>
      <c r="J15" s="24">
        <v>36.0</v>
      </c>
      <c r="K15" s="24">
        <v>36.0</v>
      </c>
      <c r="L15" s="24">
        <v>32.0</v>
      </c>
      <c r="M15" s="24">
        <v>28.0</v>
      </c>
      <c r="P15" s="142"/>
      <c r="AA15" s="98"/>
      <c r="AB15" s="98"/>
      <c r="AC15" s="98"/>
      <c r="AD15" s="98"/>
      <c r="AE15" s="98"/>
      <c r="AF15" s="98"/>
      <c r="AG15" s="98"/>
      <c r="AH15" s="98"/>
    </row>
    <row r="16" spans="8:8">
      <c r="A16" s="23" t="s">
        <v>5</v>
      </c>
      <c r="B16" s="23" t="s">
        <v>204</v>
      </c>
      <c r="C16" s="24">
        <v>3.0</v>
      </c>
      <c r="D16" s="24">
        <v>3.0</v>
      </c>
      <c r="E16" s="24">
        <v>3.0</v>
      </c>
      <c r="F16" s="24">
        <v>3.0</v>
      </c>
      <c r="G16" s="24">
        <v>3.0</v>
      </c>
      <c r="H16" s="24">
        <v>3.0</v>
      </c>
      <c r="I16" s="24">
        <v>3.0</v>
      </c>
      <c r="J16" s="24">
        <v>3.0</v>
      </c>
      <c r="K16" s="24">
        <v>3.0</v>
      </c>
      <c r="L16" s="24">
        <v>3.0</v>
      </c>
      <c r="M16" s="24">
        <v>3.0</v>
      </c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</row>
    <row r="17" spans="8:8">
      <c r="A17" s="23" t="s">
        <v>34</v>
      </c>
      <c r="B17" s="23" t="s">
        <v>204</v>
      </c>
      <c r="C17" s="24">
        <f>SUM(C5:C16)</f>
        <v>92.0</v>
      </c>
      <c r="D17" s="24">
        <f t="shared" si="0" ref="D17:M17">SUM(D5:D16)</f>
        <v>55.0</v>
      </c>
      <c r="E17" s="24">
        <f t="shared" si="0"/>
        <v>81.0</v>
      </c>
      <c r="F17" s="24">
        <f t="shared" si="0"/>
        <v>105.0</v>
      </c>
      <c r="G17" s="24">
        <f t="shared" si="0"/>
        <v>105.0</v>
      </c>
      <c r="H17" s="24">
        <f t="shared" si="0"/>
        <v>110.0</v>
      </c>
      <c r="I17" s="24">
        <f t="shared" si="0"/>
        <v>141.0</v>
      </c>
      <c r="J17" s="24">
        <f t="shared" si="0"/>
        <v>166.0</v>
      </c>
      <c r="K17" s="24">
        <f t="shared" si="0"/>
        <v>166.0</v>
      </c>
      <c r="L17" s="24">
        <f t="shared" si="0"/>
        <v>152.0</v>
      </c>
      <c r="M17" s="24">
        <f t="shared" si="0"/>
        <v>140.0</v>
      </c>
      <c r="AA17" s="98"/>
      <c r="AB17" s="98"/>
      <c r="AC17" s="98"/>
      <c r="AD17" s="98"/>
      <c r="AE17" s="98"/>
      <c r="AF17" s="98"/>
      <c r="AG17" s="98"/>
      <c r="AH17" s="98"/>
    </row>
    <row r="18" spans="8:8">
      <c r="A18" s="23" t="s">
        <v>35</v>
      </c>
      <c r="B18" s="23" t="s">
        <v>208</v>
      </c>
      <c r="C18" s="24">
        <f>C17*2.5</f>
        <v>230.0</v>
      </c>
      <c r="D18" s="24">
        <f t="shared" si="1" ref="D18:M18">D17*2.5</f>
        <v>137.5</v>
      </c>
      <c r="E18" s="24">
        <f t="shared" si="1"/>
        <v>202.5</v>
      </c>
      <c r="F18" s="24">
        <f t="shared" si="1"/>
        <v>262.5</v>
      </c>
      <c r="G18" s="24">
        <f t="shared" si="1"/>
        <v>262.5</v>
      </c>
      <c r="H18" s="24">
        <f t="shared" si="1"/>
        <v>275.0</v>
      </c>
      <c r="I18" s="24">
        <f t="shared" si="1"/>
        <v>352.5</v>
      </c>
      <c r="J18" s="24">
        <f t="shared" si="1"/>
        <v>415.0</v>
      </c>
      <c r="K18" s="24">
        <f t="shared" si="1"/>
        <v>415.0</v>
      </c>
      <c r="L18" s="24">
        <f t="shared" si="1"/>
        <v>380.0</v>
      </c>
      <c r="M18" s="24">
        <f t="shared" si="1"/>
        <v>350.0</v>
      </c>
      <c r="AA18" s="98"/>
      <c r="AB18" s="98"/>
      <c r="AC18" s="98"/>
      <c r="AD18" s="98"/>
      <c r="AE18" s="98"/>
      <c r="AF18" s="98"/>
      <c r="AG18" s="98"/>
      <c r="AH18" s="98"/>
    </row>
    <row r="19" spans="8:8">
      <c r="A19" s="95" t="s">
        <v>145</v>
      </c>
      <c r="B19" s="165" t="s">
        <v>36</v>
      </c>
      <c r="C19" s="43">
        <f>C18*1500</f>
        <v>345000.0</v>
      </c>
      <c r="D19" s="43">
        <f t="shared" si="2" ref="D19:M19">D18*1500</f>
        <v>206250.0</v>
      </c>
      <c r="E19" s="43">
        <f t="shared" si="2"/>
        <v>303750.0</v>
      </c>
      <c r="F19" s="43">
        <f t="shared" si="2"/>
        <v>393750.0</v>
      </c>
      <c r="G19" s="43">
        <f t="shared" si="2"/>
        <v>393750.0</v>
      </c>
      <c r="H19" s="43">
        <f t="shared" si="2"/>
        <v>412500.0</v>
      </c>
      <c r="I19" s="43">
        <f t="shared" si="2"/>
        <v>528750.0</v>
      </c>
      <c r="J19" s="43">
        <f t="shared" si="2"/>
        <v>622500.0</v>
      </c>
      <c r="K19" s="43">
        <f t="shared" si="2"/>
        <v>622500.0</v>
      </c>
      <c r="L19" s="43">
        <f t="shared" si="2"/>
        <v>570000.0</v>
      </c>
      <c r="M19" s="43">
        <f t="shared" si="2"/>
        <v>525000.0</v>
      </c>
      <c r="AI19" s="66"/>
      <c r="AJ19" s="66"/>
      <c r="AK19" s="66"/>
    </row>
    <row r="20" spans="8:8" s="163" customFormat="1">
      <c r="A20" s="104"/>
      <c r="B20" s="166"/>
      <c r="C20" s="72"/>
      <c r="D20" s="72"/>
      <c r="E20" s="72"/>
      <c r="F20" s="72"/>
      <c r="G20" s="72"/>
      <c r="H20" s="72"/>
      <c r="I20" s="167"/>
      <c r="J20" s="167"/>
      <c r="K20" s="167"/>
      <c r="L20" s="167"/>
      <c r="M20" s="167"/>
      <c r="N20" s="68"/>
      <c r="O20" s="17"/>
      <c r="P20" s="66"/>
      <c r="Q20" s="66"/>
      <c r="R20" s="66"/>
      <c r="S20" s="66"/>
      <c r="T20" s="66"/>
      <c r="U20" s="17"/>
      <c r="V20" s="17"/>
      <c r="W20" s="17"/>
      <c r="X20" s="17"/>
      <c r="Y20" s="17"/>
      <c r="Z20" s="17"/>
      <c r="AA20" s="66"/>
      <c r="AB20" s="17"/>
      <c r="AC20" s="17"/>
      <c r="AD20" s="17"/>
      <c r="AE20" s="17"/>
      <c r="AF20" s="17"/>
      <c r="AG20" s="17"/>
      <c r="AH20" s="17"/>
      <c r="AI20" s="17"/>
    </row>
    <row r="21" spans="8:8">
      <c r="A21" s="95" t="s">
        <v>25</v>
      </c>
      <c r="B21" s="166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O21" s="17"/>
      <c r="AI21" s="66"/>
      <c r="AJ21" s="66"/>
      <c r="AK21" s="66"/>
    </row>
    <row r="22" spans="8:8">
      <c r="A22" s="23" t="s">
        <v>44</v>
      </c>
      <c r="B22" s="166" t="s">
        <v>36</v>
      </c>
      <c r="C22" s="153">
        <v>4000.0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O22" s="98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8:8" ht="24.0">
      <c r="A23" s="35" t="s">
        <v>472</v>
      </c>
      <c r="B23" s="166" t="s">
        <v>36</v>
      </c>
      <c r="C23" s="153">
        <f>16000*3</f>
        <v>48000.0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AI23" s="66"/>
    </row>
    <row r="24" spans="8:8" ht="24.0">
      <c r="A24" s="35" t="s">
        <v>467</v>
      </c>
      <c r="B24" s="166" t="s">
        <v>36</v>
      </c>
      <c r="C24" s="153">
        <f>35*2000</f>
        <v>70000.0</v>
      </c>
      <c r="D24" s="153">
        <f>C24/10</f>
        <v>7000.0</v>
      </c>
      <c r="E24" s="153">
        <f>D24/3</f>
        <v>2333.3333333333335</v>
      </c>
      <c r="F24" s="153"/>
      <c r="G24" s="153"/>
      <c r="H24" s="153"/>
      <c r="I24" s="153"/>
      <c r="J24" s="153"/>
      <c r="K24" s="153"/>
      <c r="L24" s="153"/>
      <c r="M24" s="153"/>
    </row>
    <row r="25" spans="8:8">
      <c r="A25" s="99" t="s">
        <v>40</v>
      </c>
      <c r="B25" s="166" t="s">
        <v>39</v>
      </c>
      <c r="C25" s="153">
        <v>233.33333333333334</v>
      </c>
      <c r="D25" s="153">
        <v>466.6666666666667</v>
      </c>
      <c r="E25" s="153">
        <v>700.0</v>
      </c>
      <c r="F25" s="153">
        <v>700.0</v>
      </c>
      <c r="G25" s="153">
        <v>700.0</v>
      </c>
      <c r="H25" s="153">
        <v>700.0</v>
      </c>
      <c r="I25" s="153">
        <v>700.0</v>
      </c>
      <c r="J25" s="153">
        <v>700.0</v>
      </c>
      <c r="K25" s="153">
        <v>700.0</v>
      </c>
      <c r="L25" s="153">
        <v>700.0</v>
      </c>
      <c r="M25" s="153">
        <v>700.0</v>
      </c>
      <c r="O25" s="75"/>
      <c r="P25" s="75"/>
      <c r="AA25" s="17"/>
      <c r="AI25" s="66"/>
    </row>
    <row r="26" spans="8:8" ht="24.0">
      <c r="A26" s="35" t="s">
        <v>489</v>
      </c>
      <c r="B26" s="166" t="s">
        <v>36</v>
      </c>
      <c r="C26" s="153">
        <f>C25*273.09</f>
        <v>63721.0</v>
      </c>
      <c r="D26" s="153">
        <f>D25*273.09</f>
        <v>127442.0</v>
      </c>
      <c r="E26" s="153">
        <f t="shared" si="3" ref="E26:L26">E25*273.09</f>
        <v>191162.99999999997</v>
      </c>
      <c r="F26" s="153">
        <f t="shared" si="3"/>
        <v>191162.99999999997</v>
      </c>
      <c r="G26" s="153">
        <f t="shared" si="3"/>
        <v>191162.99999999997</v>
      </c>
      <c r="H26" s="153">
        <f t="shared" si="3"/>
        <v>191162.99999999997</v>
      </c>
      <c r="I26" s="153">
        <f t="shared" si="3"/>
        <v>191162.99999999997</v>
      </c>
      <c r="J26" s="153">
        <f t="shared" si="3"/>
        <v>191162.99999999997</v>
      </c>
      <c r="K26" s="153">
        <f t="shared" si="3"/>
        <v>191162.99999999997</v>
      </c>
      <c r="L26" s="153">
        <f t="shared" si="3"/>
        <v>191162.99999999997</v>
      </c>
      <c r="M26" s="153">
        <f>M25*273.09</f>
        <v>191162.99999999997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8:8">
      <c r="A27" s="99" t="s">
        <v>209</v>
      </c>
      <c r="B27" s="166" t="s">
        <v>36</v>
      </c>
      <c r="C27" s="153">
        <v>4000.0</v>
      </c>
      <c r="D27" s="153">
        <v>12000.0</v>
      </c>
      <c r="E27" s="153">
        <v>12000.0</v>
      </c>
      <c r="F27" s="153">
        <v>12000.0</v>
      </c>
      <c r="G27" s="153">
        <v>12000.0</v>
      </c>
      <c r="H27" s="153">
        <v>12000.0</v>
      </c>
      <c r="I27" s="153">
        <v>12000.0</v>
      </c>
      <c r="J27" s="153">
        <v>12000.0</v>
      </c>
      <c r="K27" s="153">
        <v>12000.0</v>
      </c>
      <c r="L27" s="153">
        <v>12000.0</v>
      </c>
      <c r="M27" s="153">
        <v>12000.0</v>
      </c>
      <c r="O27" s="17"/>
      <c r="AI27" s="66"/>
    </row>
    <row r="28" spans="8:8">
      <c r="A28" s="99" t="s">
        <v>210</v>
      </c>
      <c r="B28" s="166" t="s">
        <v>36</v>
      </c>
      <c r="C28" s="153"/>
      <c r="D28" s="153"/>
      <c r="E28" s="153">
        <v>4000.0</v>
      </c>
      <c r="F28" s="153">
        <v>4000.0</v>
      </c>
      <c r="G28" s="153">
        <v>5000.0</v>
      </c>
      <c r="H28" s="153">
        <v>6000.0</v>
      </c>
      <c r="I28" s="153">
        <v>6000.0</v>
      </c>
      <c r="J28" s="153">
        <v>6000.0</v>
      </c>
      <c r="K28" s="153">
        <v>6000.0</v>
      </c>
      <c r="L28" s="153">
        <v>6000.0</v>
      </c>
      <c r="M28" s="153">
        <v>6000.0</v>
      </c>
      <c r="O28" s="75"/>
      <c r="P28" s="75"/>
      <c r="AA28" s="17"/>
      <c r="AI28" s="66"/>
      <c r="AJ28" s="66"/>
      <c r="AK28" s="66"/>
    </row>
    <row r="29" spans="8:8">
      <c r="A29" s="126" t="s">
        <v>7</v>
      </c>
      <c r="B29" s="165" t="s">
        <v>36</v>
      </c>
      <c r="C29" s="43">
        <f>C22+C23+C24+C26+C27</f>
        <v>189721.0</v>
      </c>
      <c r="D29" s="43">
        <f t="shared" si="4" ref="D29:M29">D22+D23+D24+D26+D27</f>
        <v>146442.0</v>
      </c>
      <c r="E29" s="43">
        <f t="shared" si="4"/>
        <v>205496.333333333</v>
      </c>
      <c r="F29" s="43">
        <f t="shared" si="4"/>
        <v>203163.0</v>
      </c>
      <c r="G29" s="43">
        <f t="shared" si="4"/>
        <v>203163.0</v>
      </c>
      <c r="H29" s="43">
        <f t="shared" si="4"/>
        <v>203163.0</v>
      </c>
      <c r="I29" s="43">
        <f t="shared" si="4"/>
        <v>203163.0</v>
      </c>
      <c r="J29" s="43">
        <f t="shared" si="4"/>
        <v>203163.0</v>
      </c>
      <c r="K29" s="43">
        <f t="shared" si="4"/>
        <v>203163.0</v>
      </c>
      <c r="L29" s="43">
        <f t="shared" si="4"/>
        <v>203163.0</v>
      </c>
      <c r="M29" s="43">
        <f t="shared" si="4"/>
        <v>203163.0</v>
      </c>
      <c r="AB29" s="17"/>
      <c r="AC29" s="17"/>
      <c r="AD29" s="17"/>
      <c r="AE29" s="17"/>
      <c r="AF29" s="17"/>
      <c r="AG29" s="17"/>
      <c r="AH29" s="17"/>
      <c r="AI29" s="163"/>
      <c r="AJ29" s="163"/>
      <c r="AK29" s="163"/>
    </row>
    <row r="30" spans="8:8">
      <c r="A30" s="44" t="s">
        <v>27</v>
      </c>
      <c r="B30" s="168" t="s">
        <v>36</v>
      </c>
      <c r="C30" s="46">
        <f>C29+C19</f>
        <v>534721.0</v>
      </c>
      <c r="D30" s="46">
        <f t="shared" si="5" ref="D30:M30">D29+D19</f>
        <v>352692.0</v>
      </c>
      <c r="E30" s="46">
        <f t="shared" si="5"/>
        <v>509246.333333333</v>
      </c>
      <c r="F30" s="46">
        <f t="shared" si="5"/>
        <v>596913.0</v>
      </c>
      <c r="G30" s="46">
        <f t="shared" si="5"/>
        <v>596913.0</v>
      </c>
      <c r="H30" s="46">
        <f t="shared" si="5"/>
        <v>615663.0</v>
      </c>
      <c r="I30" s="46">
        <f t="shared" si="5"/>
        <v>731913.0</v>
      </c>
      <c r="J30" s="46">
        <f t="shared" si="5"/>
        <v>825663.0</v>
      </c>
      <c r="K30" s="46">
        <f t="shared" si="5"/>
        <v>825663.0</v>
      </c>
      <c r="L30" s="46">
        <f t="shared" si="5"/>
        <v>773163.0</v>
      </c>
      <c r="M30" s="46">
        <f t="shared" si="5"/>
        <v>728163.0</v>
      </c>
      <c r="AA30" s="17"/>
      <c r="AI30" s="66"/>
      <c r="AJ30" s="66"/>
      <c r="AK30" s="66"/>
    </row>
    <row r="31" spans="8:8">
      <c r="A31" s="23"/>
      <c r="B31" s="166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AB31" s="17"/>
      <c r="AC31" s="17"/>
      <c r="AD31" s="17"/>
      <c r="AE31" s="17"/>
      <c r="AF31" s="17"/>
      <c r="AG31" s="17"/>
      <c r="AH31" s="17"/>
      <c r="AI31" s="163"/>
      <c r="AJ31" s="163"/>
      <c r="AK31" s="163"/>
    </row>
    <row r="32" spans="8:8">
      <c r="A32" s="126" t="s">
        <v>18</v>
      </c>
      <c r="B32" s="166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AA32" s="17"/>
      <c r="AI32" s="66"/>
      <c r="AJ32" s="66"/>
      <c r="AK32" s="66"/>
    </row>
    <row r="33" spans="8:8">
      <c r="A33" s="99" t="s">
        <v>211</v>
      </c>
      <c r="B33" s="166" t="s">
        <v>212</v>
      </c>
      <c r="C33" s="153"/>
      <c r="D33" s="153">
        <v>0.04</v>
      </c>
      <c r="E33" s="153">
        <v>0.09</v>
      </c>
      <c r="F33" s="153">
        <v>0.1</v>
      </c>
      <c r="G33" s="153">
        <v>0.12</v>
      </c>
      <c r="H33" s="153">
        <v>0.15</v>
      </c>
      <c r="I33" s="153">
        <v>0.2</v>
      </c>
      <c r="J33" s="153">
        <v>0.25</v>
      </c>
      <c r="K33" s="153">
        <v>0.25</v>
      </c>
      <c r="L33" s="153">
        <v>0.25</v>
      </c>
      <c r="M33" s="153">
        <v>0.3</v>
      </c>
      <c r="AI33" s="66"/>
      <c r="AJ33" s="66"/>
      <c r="AK33" s="66"/>
    </row>
    <row r="34" spans="8:8">
      <c r="A34" s="99" t="s">
        <v>213</v>
      </c>
      <c r="B34" s="166"/>
      <c r="C34" s="153"/>
      <c r="D34" s="153">
        <v>500.0</v>
      </c>
      <c r="E34" s="153">
        <v>900.0</v>
      </c>
      <c r="F34" s="153">
        <v>1500.0</v>
      </c>
      <c r="G34" s="153">
        <v>1800.0</v>
      </c>
      <c r="H34" s="153">
        <v>1800.0</v>
      </c>
      <c r="I34" s="153">
        <v>1800.0</v>
      </c>
      <c r="J34" s="153">
        <v>1800.0</v>
      </c>
      <c r="K34" s="153">
        <v>1800.0</v>
      </c>
      <c r="L34" s="153">
        <v>1600.0</v>
      </c>
      <c r="M34" s="153">
        <v>1200.0</v>
      </c>
      <c r="AB34" s="17"/>
      <c r="AC34" s="17"/>
      <c r="AD34" s="17"/>
      <c r="AE34" s="17"/>
      <c r="AF34" s="17"/>
      <c r="AG34" s="17"/>
      <c r="AH34" s="17"/>
      <c r="AI34" s="163"/>
      <c r="AJ34" s="163"/>
      <c r="AK34" s="163"/>
    </row>
    <row r="35" spans="8:8">
      <c r="A35" s="99" t="s">
        <v>214</v>
      </c>
      <c r="B35" s="166" t="s">
        <v>196</v>
      </c>
      <c r="C35" s="153"/>
      <c r="D35" s="153">
        <f>D33*D34</f>
        <v>20.0</v>
      </c>
      <c r="E35" s="153">
        <f t="shared" si="6" ref="E35:M35">E33*E34</f>
        <v>81.0</v>
      </c>
      <c r="F35" s="153">
        <f t="shared" si="6"/>
        <v>150.0</v>
      </c>
      <c r="G35" s="153">
        <f t="shared" si="6"/>
        <v>216.0</v>
      </c>
      <c r="H35" s="153">
        <f t="shared" si="6"/>
        <v>270.0</v>
      </c>
      <c r="I35" s="153">
        <f t="shared" si="6"/>
        <v>360.0</v>
      </c>
      <c r="J35" s="153">
        <f t="shared" si="6"/>
        <v>450.0</v>
      </c>
      <c r="K35" s="153">
        <f t="shared" si="6"/>
        <v>450.0</v>
      </c>
      <c r="L35" s="153">
        <f t="shared" si="6"/>
        <v>400.0</v>
      </c>
      <c r="M35" s="153">
        <f t="shared" si="6"/>
        <v>360.0</v>
      </c>
      <c r="AI35" s="66"/>
      <c r="AJ35" s="66"/>
      <c r="AK35" s="66"/>
    </row>
    <row r="36" spans="8:8" ht="48.0">
      <c r="A36" s="52" t="s">
        <v>498</v>
      </c>
      <c r="B36" s="169" t="s">
        <v>36</v>
      </c>
      <c r="C36" s="54"/>
      <c r="D36" s="54">
        <f>D35*5813.08</f>
        <v>116261.6</v>
      </c>
      <c r="E36" s="54">
        <f t="shared" si="7" ref="E36:M36">E35*5813.08</f>
        <v>470859.48</v>
      </c>
      <c r="F36" s="54">
        <f t="shared" si="7"/>
        <v>871962.0</v>
      </c>
      <c r="G36" s="54">
        <f>G35*5813.08</f>
        <v>1255625.28</v>
      </c>
      <c r="H36" s="54">
        <f t="shared" si="7"/>
        <v>1569531.6</v>
      </c>
      <c r="I36" s="54">
        <f t="shared" si="7"/>
        <v>2092708.8</v>
      </c>
      <c r="J36" s="54">
        <f t="shared" si="7"/>
        <v>2615886.0</v>
      </c>
      <c r="K36" s="54">
        <f t="shared" si="7"/>
        <v>2615886.0</v>
      </c>
      <c r="L36" s="54">
        <f>L35*5813.08</f>
        <v>2325232.0</v>
      </c>
      <c r="M36" s="54">
        <f t="shared" si="7"/>
        <v>2092708.8</v>
      </c>
    </row>
    <row r="37" spans="8:8" s="5" customFormat="1" customHeight="1">
      <c r="A37" s="44" t="s">
        <v>19</v>
      </c>
      <c r="B37" s="168" t="s">
        <v>36</v>
      </c>
      <c r="C37" s="55">
        <f>C36-C30</f>
        <v>-534721.0</v>
      </c>
      <c r="D37" s="55">
        <f>D36-D30</f>
        <v>-236430.4</v>
      </c>
      <c r="E37" s="55">
        <f t="shared" si="8" ref="E37:M37">E36-E30</f>
        <v>-38386.85333333304</v>
      </c>
      <c r="F37" s="55">
        <f t="shared" si="8"/>
        <v>275049.0</v>
      </c>
      <c r="G37" s="55">
        <f t="shared" si="8"/>
        <v>658712.28</v>
      </c>
      <c r="H37" s="55">
        <f t="shared" si="8"/>
        <v>953868.6000000001</v>
      </c>
      <c r="I37" s="55">
        <f t="shared" si="8"/>
        <v>1360795.8</v>
      </c>
      <c r="J37" s="55">
        <f t="shared" si="8"/>
        <v>1790223.0</v>
      </c>
      <c r="K37" s="55">
        <f t="shared" si="8"/>
        <v>1790223.0</v>
      </c>
      <c r="L37" s="55">
        <f t="shared" si="8"/>
        <v>1552069.0</v>
      </c>
      <c r="M37" s="55">
        <f t="shared" si="8"/>
        <v>1364545.8</v>
      </c>
      <c r="N37" s="69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8:8" s="5" customFormat="1">
      <c r="A38" s="158" t="s">
        <v>59</v>
      </c>
      <c r="B38" s="170" t="s">
        <v>49</v>
      </c>
      <c r="C38" s="171"/>
      <c r="D38" s="171"/>
      <c r="E38" s="171"/>
      <c r="F38" s="171"/>
      <c r="G38" s="171"/>
      <c r="H38" s="171"/>
      <c r="I38" s="171"/>
      <c r="J38" s="171">
        <f>J30/J35</f>
        <v>1834.8066666666666</v>
      </c>
      <c r="K38" s="171"/>
      <c r="L38" s="171"/>
      <c r="M38" s="59"/>
      <c r="N38" s="69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8:8">
      <c r="B39" s="172"/>
      <c r="C39" s="159"/>
      <c r="D39" s="159"/>
      <c r="E39" s="159"/>
      <c r="F39" s="159"/>
      <c r="G39" s="159"/>
      <c r="H39" s="159"/>
      <c r="I39" s="160"/>
      <c r="J39" s="160"/>
      <c r="K39" s="159"/>
      <c r="L39" s="159"/>
      <c r="M39" s="159"/>
    </row>
    <row r="40" spans="8:8">
      <c r="B40" s="172"/>
      <c r="C40" s="159"/>
      <c r="D40" s="159"/>
      <c r="E40" s="159"/>
      <c r="F40" s="159"/>
      <c r="G40" s="159"/>
      <c r="H40" s="159"/>
      <c r="I40" s="160"/>
      <c r="J40" s="160"/>
      <c r="K40" s="159"/>
      <c r="L40" s="159"/>
      <c r="M40" s="159"/>
    </row>
    <row r="41" spans="8:8">
      <c r="I41" s="68"/>
      <c r="J41" s="160"/>
    </row>
    <row r="42" spans="8:8">
      <c r="A42" s="142" t="s">
        <v>60</v>
      </c>
      <c r="B42" s="66" t="s">
        <v>458</v>
      </c>
    </row>
    <row r="43" spans="8:8">
      <c r="A43" s="66" t="s">
        <v>215</v>
      </c>
      <c r="B43" s="36"/>
      <c r="M43" s="76" t="s">
        <v>103</v>
      </c>
    </row>
    <row r="44" spans="8:8">
      <c r="A44" s="66" t="s">
        <v>216</v>
      </c>
      <c r="B44" s="36"/>
      <c r="P44" s="36"/>
    </row>
    <row r="45" spans="8:8">
      <c r="B45" s="36"/>
      <c r="P45" s="36"/>
    </row>
    <row r="46" spans="8:8">
      <c r="A46" s="17"/>
    </row>
    <row r="47" spans="8:8">
      <c r="A47" s="173" t="s">
        <v>97</v>
      </c>
      <c r="C47" s="61"/>
      <c r="D47" s="61"/>
      <c r="E47" s="61"/>
      <c r="F47" s="61"/>
      <c r="G47" s="61"/>
      <c r="H47" s="61"/>
    </row>
    <row r="48" spans="8:8">
      <c r="A48" s="36" t="s">
        <v>199</v>
      </c>
    </row>
    <row r="49" spans="8:8" s="8" customFormat="1">
      <c r="A49" s="66" t="s">
        <v>407</v>
      </c>
      <c r="B49" s="61"/>
      <c r="C49" s="2"/>
      <c r="D49" s="2"/>
      <c r="E49" s="2"/>
      <c r="F49" s="2"/>
      <c r="G49" s="61"/>
      <c r="H49" s="2"/>
      <c r="I49" s="2"/>
      <c r="J49" s="2"/>
      <c r="K49" s="2"/>
      <c r="L49" s="2"/>
      <c r="M49" s="34"/>
      <c r="N49" s="34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8:8">
      <c r="A50" s="66" t="s">
        <v>418</v>
      </c>
    </row>
    <row r="51" spans="8:8">
      <c r="A51" s="66" t="s">
        <v>217</v>
      </c>
    </row>
    <row r="52" spans="8:8">
      <c r="A52" s="66" t="s">
        <v>463</v>
      </c>
    </row>
    <row r="53" spans="8:8">
      <c r="A53" s="66" t="s">
        <v>218</v>
      </c>
    </row>
    <row r="54" spans="8:8">
      <c r="A54" s="66" t="s">
        <v>419</v>
      </c>
    </row>
    <row r="55" spans="8:8">
      <c r="A55" s="66" t="s">
        <v>219</v>
      </c>
    </row>
    <row r="56" spans="8:8" s="5" customFormat="1">
      <c r="A56" s="5" t="s">
        <v>420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46"/>
      <c r="O56" s="4"/>
    </row>
    <row r="57" spans="8:8">
      <c r="B57" s="17"/>
      <c r="G57" s="61"/>
    </row>
    <row r="59" spans="8:8">
      <c r="A59" s="17"/>
    </row>
  </sheetData>
  <mergeCells count="1">
    <mergeCell ref="A1:M1"/>
  </mergeCells>
  <pageMargins left="0.7" right="0.7" top="0.75" bottom="0.75" header="0.3" footer="0.3"/>
  <pageSetup paperSize="9" scale="91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58"/>
  <sheetViews>
    <sheetView workbookViewId="0" zoomScale="89">
      <selection activeCell="A1" sqref="A1:P1"/>
    </sheetView>
  </sheetViews>
  <sheetFormatPr defaultRowHeight="12.0" defaultColWidth="9"/>
  <cols>
    <col min="1" max="1" customWidth="1" width="28.710938" style="66"/>
    <col min="2" max="2" customWidth="1" width="7.7109375" style="66"/>
    <col min="3" max="3" customWidth="1" width="11.425781" style="76"/>
    <col min="4" max="4" customWidth="1" width="13.285156" style="76"/>
    <col min="5" max="6" customWidth="1" width="11.0" style="76"/>
    <col min="7" max="7" customWidth="1" width="11.5703125" style="76"/>
    <col min="8" max="8" customWidth="1" width="10.855469" style="76"/>
    <col min="9" max="9" customWidth="1" width="11.425781" style="76"/>
    <col min="10" max="10" customWidth="1" width="11.140625" style="76"/>
    <col min="11" max="11" customWidth="1" width="12.425781" style="76"/>
    <col min="12" max="12" customWidth="1" width="12.140625" style="76"/>
    <col min="13" max="13" customWidth="1" width="12.5703125" style="76"/>
    <col min="14" max="14" customWidth="1" width="13.140625" style="76"/>
    <col min="15" max="15" customWidth="1" width="13.0" style="76"/>
    <col min="16" max="16" customWidth="1" width="13.7109375" style="76"/>
    <col min="17" max="17" customWidth="0" width="9.285156" style="68"/>
    <col min="18" max="18" customWidth="0" width="9.285156" style="66"/>
    <col min="19" max="19" customWidth="1" width="7.7109375" style="66"/>
    <col min="20" max="20" customWidth="1" width="8.0" style="66"/>
    <col min="21" max="21" customWidth="1" width="8.425781" style="66"/>
    <col min="22" max="22" customWidth="1" width="6.8554688" style="66"/>
    <col min="23" max="24" customWidth="0" width="9.285156" style="66"/>
    <col min="25" max="26" customWidth="1" width="9.5703125" style="66"/>
    <col min="27" max="27" customWidth="1" width="9.855469" style="66"/>
    <col min="28" max="28" customWidth="1" width="10.7109375" style="66"/>
    <col min="29" max="29" customWidth="1" width="7.5703125" style="66"/>
    <col min="30" max="16384" customWidth="0" width="9.285156" style="66"/>
  </cols>
  <sheetData>
    <row r="1" spans="8:8" ht="24.0" customHeight="1">
      <c r="A1" s="174" t="s">
        <v>522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S1" s="175"/>
    </row>
    <row r="2" spans="8:8" s="36" ht="12.0" customFormat="1">
      <c r="A2" s="95" t="s">
        <v>221</v>
      </c>
      <c r="B2" s="95"/>
      <c r="C2" s="147" t="s">
        <v>70</v>
      </c>
      <c r="D2" s="147" t="s">
        <v>71</v>
      </c>
      <c r="E2" s="147" t="s">
        <v>72</v>
      </c>
      <c r="F2" s="147" t="s">
        <v>66</v>
      </c>
      <c r="G2" s="147" t="s">
        <v>73</v>
      </c>
      <c r="H2" s="147" t="s">
        <v>175</v>
      </c>
      <c r="I2" s="147" t="s">
        <v>176</v>
      </c>
      <c r="J2" s="147" t="s">
        <v>177</v>
      </c>
      <c r="K2" s="147" t="s">
        <v>178</v>
      </c>
      <c r="L2" s="147" t="s">
        <v>222</v>
      </c>
      <c r="M2" s="147" t="s">
        <v>223</v>
      </c>
      <c r="N2" s="147" t="s">
        <v>224</v>
      </c>
      <c r="O2" s="147" t="s">
        <v>225</v>
      </c>
      <c r="P2" s="147" t="s">
        <v>253</v>
      </c>
      <c r="Q2" s="69"/>
    </row>
    <row r="3" spans="8:8">
      <c r="A3" s="95" t="s">
        <v>227</v>
      </c>
      <c r="B3" s="23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S3" s="76"/>
      <c r="T3" s="76"/>
      <c r="U3" s="76"/>
      <c r="V3" s="76"/>
      <c r="W3" s="76"/>
    </row>
    <row r="4" spans="8:8" ht="24.0">
      <c r="A4" s="99" t="s">
        <v>3</v>
      </c>
      <c r="B4" s="23" t="s">
        <v>204</v>
      </c>
      <c r="C4" s="24">
        <v>20.0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S4" s="76"/>
      <c r="T4" s="76"/>
      <c r="U4" s="76"/>
      <c r="V4" s="76"/>
      <c r="W4" s="76"/>
    </row>
    <row r="5" spans="8:8">
      <c r="A5" s="23" t="s">
        <v>182</v>
      </c>
      <c r="B5" s="23" t="s">
        <v>204</v>
      </c>
      <c r="C5" s="24">
        <v>20.0</v>
      </c>
      <c r="D5" s="24">
        <v>8.0</v>
      </c>
      <c r="E5" s="24">
        <v>8.0</v>
      </c>
      <c r="F5" s="24">
        <v>8.0</v>
      </c>
      <c r="G5" s="24">
        <v>8.0</v>
      </c>
      <c r="H5" s="24">
        <v>8.0</v>
      </c>
      <c r="I5" s="24">
        <v>8.0</v>
      </c>
      <c r="J5" s="24">
        <v>8.0</v>
      </c>
      <c r="K5" s="24">
        <v>8.0</v>
      </c>
      <c r="L5" s="24">
        <v>8.0</v>
      </c>
      <c r="M5" s="24">
        <v>8.0</v>
      </c>
      <c r="N5" s="24">
        <v>8.0</v>
      </c>
      <c r="O5" s="24">
        <v>8.0</v>
      </c>
      <c r="P5" s="24">
        <v>8.0</v>
      </c>
      <c r="S5" s="76"/>
      <c r="T5" s="76"/>
      <c r="U5" s="76"/>
      <c r="V5" s="176"/>
      <c r="W5" s="76"/>
    </row>
    <row r="6" spans="8:8">
      <c r="A6" s="23" t="s">
        <v>254</v>
      </c>
      <c r="B6" s="23" t="s">
        <v>204</v>
      </c>
      <c r="C6" s="24">
        <v>5.0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V6" s="36"/>
    </row>
    <row r="7" spans="8:8">
      <c r="A7" s="99" t="s">
        <v>255</v>
      </c>
      <c r="B7" s="23" t="s">
        <v>204</v>
      </c>
      <c r="C7" s="24">
        <v>5.0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S7" s="175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8:8" ht="24.0" customHeight="1">
      <c r="A8" s="99" t="s">
        <v>256</v>
      </c>
      <c r="B8" s="23" t="s">
        <v>204</v>
      </c>
      <c r="C8" s="24">
        <v>4.0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S8" s="76"/>
      <c r="T8" s="76"/>
      <c r="U8" s="76"/>
      <c r="V8" s="76"/>
      <c r="W8" s="76"/>
    </row>
    <row r="9" spans="8:8" ht="24.0" customHeight="1">
      <c r="A9" s="99" t="s">
        <v>42</v>
      </c>
      <c r="B9" s="23" t="s">
        <v>204</v>
      </c>
      <c r="C9" s="24">
        <v>2.0</v>
      </c>
      <c r="D9" s="24">
        <v>1.0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S9" s="76"/>
      <c r="T9" s="76"/>
      <c r="U9" s="76"/>
      <c r="V9" s="76"/>
      <c r="W9" s="76"/>
    </row>
    <row r="10" spans="8:8" ht="15.75" customHeight="1">
      <c r="A10" s="99" t="s">
        <v>257</v>
      </c>
      <c r="B10" s="23" t="s">
        <v>204</v>
      </c>
      <c r="C10" s="24">
        <v>5.0</v>
      </c>
      <c r="D10" s="24">
        <v>5.0</v>
      </c>
      <c r="E10" s="24">
        <v>5.0</v>
      </c>
      <c r="F10" s="24">
        <v>4.0</v>
      </c>
      <c r="G10" s="24">
        <v>4.0</v>
      </c>
      <c r="H10" s="24">
        <v>4.0</v>
      </c>
      <c r="I10" s="24">
        <v>4.0</v>
      </c>
      <c r="J10" s="24">
        <v>4.0</v>
      </c>
      <c r="K10" s="24">
        <v>4.0</v>
      </c>
      <c r="L10" s="24">
        <v>4.0</v>
      </c>
      <c r="M10" s="24">
        <v>4.0</v>
      </c>
      <c r="N10" s="24">
        <v>4.0</v>
      </c>
      <c r="O10" s="24">
        <v>4.0</v>
      </c>
      <c r="P10" s="24">
        <v>4.0</v>
      </c>
      <c r="S10" s="76"/>
      <c r="T10" s="76"/>
      <c r="U10" s="76"/>
      <c r="V10" s="176"/>
      <c r="W10" s="76"/>
    </row>
    <row r="11" spans="8:8" ht="15.0" customHeight="1">
      <c r="A11" s="23" t="s">
        <v>11</v>
      </c>
      <c r="B11" s="23" t="s">
        <v>204</v>
      </c>
      <c r="C11" s="24">
        <v>1.0</v>
      </c>
      <c r="D11" s="24">
        <v>1.0</v>
      </c>
      <c r="E11" s="24">
        <v>2.0</v>
      </c>
      <c r="F11" s="24">
        <v>2.0</v>
      </c>
      <c r="G11" s="24">
        <v>2.0</v>
      </c>
      <c r="H11" s="24">
        <v>2.0</v>
      </c>
      <c r="I11" s="24">
        <v>2.0</v>
      </c>
      <c r="J11" s="24">
        <v>2.0</v>
      </c>
      <c r="K11" s="24">
        <v>2.0</v>
      </c>
      <c r="L11" s="24">
        <v>2.0</v>
      </c>
      <c r="M11" s="24">
        <v>2.0</v>
      </c>
      <c r="N11" s="24">
        <v>2.0</v>
      </c>
      <c r="O11" s="24">
        <v>2.0</v>
      </c>
      <c r="P11" s="24">
        <v>2.0</v>
      </c>
      <c r="S11" s="96"/>
      <c r="T11" s="96"/>
      <c r="U11" s="96"/>
      <c r="V11" s="96"/>
      <c r="W11" s="96"/>
    </row>
    <row r="12" spans="8:8">
      <c r="A12" s="23" t="s">
        <v>21</v>
      </c>
      <c r="B12" s="23" t="s">
        <v>204</v>
      </c>
      <c r="C12" s="24">
        <v>2.0</v>
      </c>
      <c r="D12" s="24">
        <v>2.0</v>
      </c>
      <c r="E12" s="24">
        <v>6.0</v>
      </c>
      <c r="F12" s="24">
        <v>6.0</v>
      </c>
      <c r="G12" s="24">
        <v>6.0</v>
      </c>
      <c r="H12" s="24">
        <v>6.0</v>
      </c>
      <c r="I12" s="24">
        <v>6.0</v>
      </c>
      <c r="J12" s="24">
        <v>6.0</v>
      </c>
      <c r="K12" s="24">
        <v>6.0</v>
      </c>
      <c r="L12" s="24">
        <v>6.0</v>
      </c>
      <c r="M12" s="24">
        <v>6.0</v>
      </c>
      <c r="N12" s="24">
        <v>6.0</v>
      </c>
      <c r="O12" s="24">
        <v>6.0</v>
      </c>
      <c r="P12" s="24">
        <v>6.0</v>
      </c>
      <c r="S12" s="76"/>
      <c r="T12" s="76"/>
      <c r="U12" s="76"/>
      <c r="V12" s="76"/>
      <c r="W12" s="76"/>
    </row>
    <row r="13" spans="8:8" ht="18.0" customHeight="1">
      <c r="A13" s="23" t="s">
        <v>5</v>
      </c>
      <c r="B13" s="23" t="s">
        <v>204</v>
      </c>
      <c r="C13" s="24">
        <v>3.0</v>
      </c>
      <c r="D13" s="24">
        <v>5.0</v>
      </c>
      <c r="E13" s="24">
        <v>5.0</v>
      </c>
      <c r="F13" s="24">
        <v>5.0</v>
      </c>
      <c r="G13" s="24">
        <v>5.0</v>
      </c>
      <c r="H13" s="24">
        <v>5.0</v>
      </c>
      <c r="I13" s="24">
        <v>5.0</v>
      </c>
      <c r="J13" s="24">
        <v>5.0</v>
      </c>
      <c r="K13" s="24">
        <v>5.0</v>
      </c>
      <c r="L13" s="24">
        <v>5.0</v>
      </c>
      <c r="M13" s="24">
        <v>5.0</v>
      </c>
      <c r="N13" s="24">
        <v>5.0</v>
      </c>
      <c r="O13" s="24">
        <v>5.0</v>
      </c>
      <c r="P13" s="24">
        <v>5.0</v>
      </c>
      <c r="S13" s="76"/>
      <c r="T13" s="76"/>
      <c r="U13" s="76"/>
      <c r="V13" s="76"/>
      <c r="W13" s="76"/>
    </row>
    <row r="14" spans="8:8">
      <c r="A14" s="23" t="s">
        <v>258</v>
      </c>
      <c r="B14" s="23" t="s">
        <v>204</v>
      </c>
      <c r="C14" s="24">
        <f>SUM(C4:C13)</f>
        <v>67.0</v>
      </c>
      <c r="D14" s="24">
        <f t="shared" si="0" ref="D14:P14">SUM(D4:D13)</f>
        <v>22.0</v>
      </c>
      <c r="E14" s="24">
        <f t="shared" si="0"/>
        <v>26.0</v>
      </c>
      <c r="F14" s="24">
        <f t="shared" si="0"/>
        <v>25.0</v>
      </c>
      <c r="G14" s="24">
        <f t="shared" si="0"/>
        <v>25.0</v>
      </c>
      <c r="H14" s="24">
        <f t="shared" si="0"/>
        <v>25.0</v>
      </c>
      <c r="I14" s="24">
        <f t="shared" si="0"/>
        <v>25.0</v>
      </c>
      <c r="J14" s="24">
        <f t="shared" si="0"/>
        <v>25.0</v>
      </c>
      <c r="K14" s="24">
        <f t="shared" si="0"/>
        <v>25.0</v>
      </c>
      <c r="L14" s="24">
        <f t="shared" si="0"/>
        <v>25.0</v>
      </c>
      <c r="M14" s="24">
        <f t="shared" si="0"/>
        <v>25.0</v>
      </c>
      <c r="N14" s="24">
        <f t="shared" si="0"/>
        <v>25.0</v>
      </c>
      <c r="O14" s="24">
        <f t="shared" si="0"/>
        <v>25.0</v>
      </c>
      <c r="P14" s="24">
        <f t="shared" si="0"/>
        <v>25.0</v>
      </c>
    </row>
    <row r="15" spans="8:8" ht="24.0">
      <c r="A15" s="99" t="s">
        <v>259</v>
      </c>
      <c r="B15" s="151" t="s">
        <v>208</v>
      </c>
      <c r="C15" s="24">
        <f>C14*2.5</f>
        <v>167.5</v>
      </c>
      <c r="D15" s="24">
        <f t="shared" si="1" ref="D15:P15">D14*2.5</f>
        <v>55.0</v>
      </c>
      <c r="E15" s="24">
        <f t="shared" si="1"/>
        <v>65.0</v>
      </c>
      <c r="F15" s="24">
        <f t="shared" si="1"/>
        <v>62.5</v>
      </c>
      <c r="G15" s="24">
        <f t="shared" si="1"/>
        <v>62.5</v>
      </c>
      <c r="H15" s="24">
        <f t="shared" si="1"/>
        <v>62.5</v>
      </c>
      <c r="I15" s="24">
        <f t="shared" si="1"/>
        <v>62.5</v>
      </c>
      <c r="J15" s="24">
        <f t="shared" si="1"/>
        <v>62.5</v>
      </c>
      <c r="K15" s="24">
        <f t="shared" si="1"/>
        <v>62.5</v>
      </c>
      <c r="L15" s="24">
        <f t="shared" si="1"/>
        <v>62.5</v>
      </c>
      <c r="M15" s="24">
        <f t="shared" si="1"/>
        <v>62.5</v>
      </c>
      <c r="N15" s="24">
        <f t="shared" si="1"/>
        <v>62.5</v>
      </c>
      <c r="O15" s="24">
        <f t="shared" si="1"/>
        <v>62.5</v>
      </c>
      <c r="P15" s="24">
        <f t="shared" si="1"/>
        <v>62.5</v>
      </c>
      <c r="S15" s="142"/>
      <c r="T15" s="142"/>
    </row>
    <row r="16" spans="8:8">
      <c r="A16" s="23" t="s">
        <v>252</v>
      </c>
      <c r="B16" s="23" t="s">
        <v>240</v>
      </c>
      <c r="C16" s="153">
        <f>C15*1500</f>
        <v>251250.0</v>
      </c>
      <c r="D16" s="153">
        <f t="shared" si="2" ref="D16:P16">D15*1500</f>
        <v>82500.0</v>
      </c>
      <c r="E16" s="153">
        <f t="shared" si="2"/>
        <v>97500.0</v>
      </c>
      <c r="F16" s="153">
        <f t="shared" si="2"/>
        <v>93750.0</v>
      </c>
      <c r="G16" s="153">
        <f t="shared" si="2"/>
        <v>93750.0</v>
      </c>
      <c r="H16" s="153">
        <f t="shared" si="2"/>
        <v>93750.0</v>
      </c>
      <c r="I16" s="153">
        <f t="shared" si="2"/>
        <v>93750.0</v>
      </c>
      <c r="J16" s="153">
        <f t="shared" si="2"/>
        <v>93750.0</v>
      </c>
      <c r="K16" s="153">
        <f t="shared" si="2"/>
        <v>93750.0</v>
      </c>
      <c r="L16" s="153">
        <f t="shared" si="2"/>
        <v>93750.0</v>
      </c>
      <c r="M16" s="153">
        <f t="shared" si="2"/>
        <v>93750.0</v>
      </c>
      <c r="N16" s="153">
        <f t="shared" si="2"/>
        <v>93750.0</v>
      </c>
      <c r="O16" s="153">
        <f t="shared" si="2"/>
        <v>93750.0</v>
      </c>
      <c r="P16" s="153">
        <f t="shared" si="2"/>
        <v>93750.0</v>
      </c>
      <c r="U16" s="36"/>
    </row>
    <row r="17" spans="8:8" ht="27.0" customHeight="1">
      <c r="A17" s="99" t="s">
        <v>397</v>
      </c>
      <c r="B17" s="23" t="s">
        <v>240</v>
      </c>
      <c r="C17" s="153"/>
      <c r="D17" s="153"/>
      <c r="E17" s="153"/>
      <c r="F17" s="153"/>
      <c r="G17" s="153"/>
      <c r="H17" s="153">
        <f>(H34/100*40)</f>
        <v>100129.05</v>
      </c>
      <c r="I17" s="153">
        <f t="shared" si="3" ref="I17:J17">(I34/100*40)</f>
        <v>200258.1</v>
      </c>
      <c r="J17" s="153">
        <f t="shared" si="3"/>
        <v>300387.15</v>
      </c>
      <c r="K17" s="153">
        <f t="shared" si="4" ref="K17:P17">(K34/100*40)</f>
        <v>400516.2</v>
      </c>
      <c r="L17" s="153">
        <f t="shared" si="4"/>
        <v>500645.25</v>
      </c>
      <c r="M17" s="153">
        <f t="shared" si="4"/>
        <v>600774.3</v>
      </c>
      <c r="N17" s="153">
        <f>(N34/100*40)</f>
        <v>1001290.5</v>
      </c>
      <c r="O17" s="153">
        <f t="shared" si="4"/>
        <v>1201548.6</v>
      </c>
      <c r="P17" s="153">
        <f t="shared" si="4"/>
        <v>1001290.5</v>
      </c>
    </row>
    <row r="18" spans="8:8">
      <c r="A18" s="95" t="s">
        <v>272</v>
      </c>
      <c r="B18" s="95" t="s">
        <v>240</v>
      </c>
      <c r="C18" s="43">
        <f>C17+C16</f>
        <v>251250.0</v>
      </c>
      <c r="D18" s="43">
        <f t="shared" si="5" ref="D18:P18">D17+D16</f>
        <v>82500.0</v>
      </c>
      <c r="E18" s="43">
        <f t="shared" si="5"/>
        <v>97500.0</v>
      </c>
      <c r="F18" s="43">
        <f t="shared" si="5"/>
        <v>93750.0</v>
      </c>
      <c r="G18" s="43">
        <f t="shared" si="5"/>
        <v>93750.0</v>
      </c>
      <c r="H18" s="43">
        <f t="shared" si="5"/>
        <v>193879.05</v>
      </c>
      <c r="I18" s="43">
        <f t="shared" si="5"/>
        <v>294008.1</v>
      </c>
      <c r="J18" s="43">
        <f t="shared" si="5"/>
        <v>394137.15</v>
      </c>
      <c r="K18" s="43">
        <f t="shared" si="5"/>
        <v>494266.2</v>
      </c>
      <c r="L18" s="43">
        <f t="shared" si="5"/>
        <v>594395.25</v>
      </c>
      <c r="M18" s="43">
        <f t="shared" si="5"/>
        <v>694524.3</v>
      </c>
      <c r="N18" s="43">
        <f>N17+N16</f>
        <v>1095040.5</v>
      </c>
      <c r="O18" s="43">
        <f t="shared" si="5"/>
        <v>1295298.6</v>
      </c>
      <c r="P18" s="43">
        <f t="shared" si="5"/>
        <v>1095040.5</v>
      </c>
    </row>
    <row r="19" spans="8:8">
      <c r="A19" s="23"/>
      <c r="B19" s="2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</row>
    <row r="20" spans="8:8">
      <c r="A20" s="95" t="s">
        <v>25</v>
      </c>
      <c r="B20" s="95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</row>
    <row r="21" spans="8:8" customHeight="1">
      <c r="A21" s="23" t="s">
        <v>44</v>
      </c>
      <c r="B21" s="23" t="s">
        <v>12</v>
      </c>
      <c r="C21" s="153">
        <v>4000.0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</row>
    <row r="22" spans="8:8">
      <c r="A22" s="31" t="s">
        <v>514</v>
      </c>
      <c r="B22" s="23" t="s">
        <v>240</v>
      </c>
      <c r="C22" s="153">
        <f>130*250</f>
        <v>32500.0</v>
      </c>
      <c r="D22" s="153">
        <f>C22/5</f>
        <v>6500.0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</row>
    <row r="23" spans="8:8" ht="24.0">
      <c r="A23" s="35" t="s">
        <v>475</v>
      </c>
      <c r="B23" s="23" t="s">
        <v>240</v>
      </c>
      <c r="C23" s="153">
        <v>16000.0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</row>
    <row r="24" spans="8:8">
      <c r="A24" s="23" t="s">
        <v>40</v>
      </c>
      <c r="B24" s="23" t="s">
        <v>260</v>
      </c>
      <c r="C24" s="153">
        <v>62.5</v>
      </c>
      <c r="D24" s="153">
        <v>125.0</v>
      </c>
      <c r="E24" s="153">
        <v>187.5</v>
      </c>
      <c r="F24" s="153">
        <v>250.0</v>
      </c>
      <c r="G24" s="153">
        <v>375.0</v>
      </c>
      <c r="H24" s="153">
        <v>437.5</v>
      </c>
      <c r="I24" s="153">
        <v>500.0</v>
      </c>
      <c r="J24" s="153">
        <v>562.5</v>
      </c>
      <c r="K24" s="153">
        <v>625.0</v>
      </c>
      <c r="L24" s="153">
        <v>625.0</v>
      </c>
      <c r="M24" s="153">
        <v>625.0</v>
      </c>
      <c r="N24" s="153">
        <v>625.0</v>
      </c>
      <c r="O24" s="153">
        <v>625.0</v>
      </c>
      <c r="P24" s="153">
        <v>625.0</v>
      </c>
    </row>
    <row r="25" spans="8:8" s="119" ht="24.0" customFormat="1">
      <c r="A25" s="35" t="s">
        <v>487</v>
      </c>
      <c r="B25" s="31" t="s">
        <v>240</v>
      </c>
      <c r="C25" s="32">
        <f>C24*318.67</f>
        <v>19916.875</v>
      </c>
      <c r="D25" s="32">
        <f>D24*318.67</f>
        <v>39833.75</v>
      </c>
      <c r="E25" s="32">
        <f t="shared" si="6" ref="E25:O25">E24*318.67</f>
        <v>59750.625</v>
      </c>
      <c r="F25" s="32">
        <f t="shared" si="6"/>
        <v>79667.5</v>
      </c>
      <c r="G25" s="32">
        <f t="shared" si="6"/>
        <v>119501.25</v>
      </c>
      <c r="H25" s="32">
        <f t="shared" si="6"/>
        <v>139418.125</v>
      </c>
      <c r="I25" s="32">
        <f t="shared" si="6"/>
        <v>159335.0</v>
      </c>
      <c r="J25" s="32">
        <f t="shared" si="6"/>
        <v>179251.875</v>
      </c>
      <c r="K25" s="32">
        <f t="shared" si="6"/>
        <v>199168.75</v>
      </c>
      <c r="L25" s="32">
        <f t="shared" si="6"/>
        <v>199168.75</v>
      </c>
      <c r="M25" s="32">
        <f t="shared" si="6"/>
        <v>199168.75</v>
      </c>
      <c r="N25" s="32">
        <f t="shared" si="6"/>
        <v>199168.75</v>
      </c>
      <c r="O25" s="32">
        <f t="shared" si="6"/>
        <v>199168.75</v>
      </c>
      <c r="P25" s="32">
        <f>P24*318.67</f>
        <v>199168.75</v>
      </c>
      <c r="Q25" s="118"/>
    </row>
    <row r="26" spans="8:8">
      <c r="A26" s="99" t="s">
        <v>261</v>
      </c>
      <c r="B26" s="23" t="s">
        <v>240</v>
      </c>
      <c r="C26" s="153">
        <v>4000.0</v>
      </c>
      <c r="D26" s="153">
        <v>4000.0</v>
      </c>
      <c r="E26" s="153">
        <v>7000.0</v>
      </c>
      <c r="F26" s="153">
        <v>7000.0</v>
      </c>
      <c r="G26" s="153">
        <v>7000.0</v>
      </c>
      <c r="H26" s="153">
        <v>7000.0</v>
      </c>
      <c r="I26" s="153">
        <v>7000.0</v>
      </c>
      <c r="J26" s="153">
        <v>10000.0</v>
      </c>
      <c r="K26" s="153">
        <v>20000.0</v>
      </c>
      <c r="L26" s="153">
        <v>40000.0</v>
      </c>
      <c r="M26" s="153">
        <v>40000.0</v>
      </c>
      <c r="N26" s="153">
        <v>40000.0</v>
      </c>
      <c r="O26" s="153">
        <v>40000.0</v>
      </c>
      <c r="P26" s="153">
        <v>40000.0</v>
      </c>
    </row>
    <row r="27" spans="8:8">
      <c r="A27" s="95" t="s">
        <v>7</v>
      </c>
      <c r="B27" s="95" t="s">
        <v>240</v>
      </c>
      <c r="C27" s="43">
        <f>C21+C22+C23+C25+C26</f>
        <v>76416.875</v>
      </c>
      <c r="D27" s="43">
        <f t="shared" si="7" ref="D27:P27">D21+D22+D23+D25+D26</f>
        <v>50333.75</v>
      </c>
      <c r="E27" s="43">
        <f t="shared" si="7"/>
        <v>66750.625</v>
      </c>
      <c r="F27" s="43">
        <f t="shared" si="7"/>
        <v>86667.5</v>
      </c>
      <c r="G27" s="43">
        <f t="shared" si="7"/>
        <v>126501.25</v>
      </c>
      <c r="H27" s="43">
        <f t="shared" si="7"/>
        <v>146418.125</v>
      </c>
      <c r="I27" s="43">
        <f t="shared" si="7"/>
        <v>166335.0</v>
      </c>
      <c r="J27" s="43">
        <f t="shared" si="7"/>
        <v>189251.875</v>
      </c>
      <c r="K27" s="43">
        <f t="shared" si="7"/>
        <v>219168.75</v>
      </c>
      <c r="L27" s="43">
        <f t="shared" si="7"/>
        <v>239168.75</v>
      </c>
      <c r="M27" s="43">
        <f t="shared" si="7"/>
        <v>239168.75</v>
      </c>
      <c r="N27" s="43">
        <f>N21+N22+N23+N25+N26</f>
        <v>239168.75</v>
      </c>
      <c r="O27" s="43">
        <f t="shared" si="7"/>
        <v>239168.75</v>
      </c>
      <c r="P27" s="43">
        <f t="shared" si="7"/>
        <v>239168.75</v>
      </c>
    </row>
    <row r="28" spans="8:8">
      <c r="A28" s="45" t="s">
        <v>13</v>
      </c>
      <c r="B28" s="45" t="s">
        <v>240</v>
      </c>
      <c r="C28" s="46">
        <f>C27+C18</f>
        <v>327666.875</v>
      </c>
      <c r="D28" s="46">
        <f t="shared" si="8" ref="D28:P28">D27+D18</f>
        <v>132833.75</v>
      </c>
      <c r="E28" s="46">
        <f t="shared" si="8"/>
        <v>164250.625</v>
      </c>
      <c r="F28" s="46">
        <f t="shared" si="8"/>
        <v>180417.5</v>
      </c>
      <c r="G28" s="46">
        <f t="shared" si="8"/>
        <v>220251.25</v>
      </c>
      <c r="H28" s="46">
        <f t="shared" si="8"/>
        <v>340297.175</v>
      </c>
      <c r="I28" s="46">
        <f t="shared" si="8"/>
        <v>460343.1</v>
      </c>
      <c r="J28" s="46">
        <f t="shared" si="8"/>
        <v>583389.025</v>
      </c>
      <c r="K28" s="46">
        <f t="shared" si="8"/>
        <v>713434.95</v>
      </c>
      <c r="L28" s="46">
        <f t="shared" si="8"/>
        <v>833564.0</v>
      </c>
      <c r="M28" s="46">
        <f t="shared" si="8"/>
        <v>933693.05</v>
      </c>
      <c r="N28" s="46">
        <f t="shared" si="8"/>
        <v>1334209.25</v>
      </c>
      <c r="O28" s="46">
        <f t="shared" si="8"/>
        <v>1534467.35</v>
      </c>
      <c r="P28" s="46">
        <f t="shared" si="8"/>
        <v>1334209.25</v>
      </c>
    </row>
    <row r="29" spans="8:8">
      <c r="A29" s="23"/>
      <c r="B29" s="2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</row>
    <row r="30" spans="8:8">
      <c r="A30" s="95" t="s">
        <v>18</v>
      </c>
      <c r="B30" s="95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</row>
    <row r="31" spans="8:8">
      <c r="A31" s="177" t="s">
        <v>451</v>
      </c>
      <c r="B31" s="95"/>
      <c r="C31" s="153"/>
      <c r="D31" s="153"/>
      <c r="E31" s="153"/>
      <c r="F31" s="153"/>
      <c r="G31" s="153">
        <f>250*90/100</f>
        <v>225.0</v>
      </c>
      <c r="H31" s="153">
        <f t="shared" si="9" ref="H31:P31">250*90/100</f>
        <v>225.0</v>
      </c>
      <c r="I31" s="153">
        <f t="shared" si="9"/>
        <v>225.0</v>
      </c>
      <c r="J31" s="153">
        <f t="shared" si="9"/>
        <v>225.0</v>
      </c>
      <c r="K31" s="153">
        <f t="shared" si="9"/>
        <v>225.0</v>
      </c>
      <c r="L31" s="153">
        <f t="shared" si="9"/>
        <v>225.0</v>
      </c>
      <c r="M31" s="153">
        <f t="shared" si="9"/>
        <v>225.0</v>
      </c>
      <c r="N31" s="153">
        <f t="shared" si="9"/>
        <v>225.0</v>
      </c>
      <c r="O31" s="153">
        <f t="shared" si="9"/>
        <v>225.0</v>
      </c>
      <c r="P31" s="153">
        <f t="shared" si="9"/>
        <v>225.0</v>
      </c>
    </row>
    <row r="32" spans="8:8" ht="24.0">
      <c r="A32" s="99" t="s">
        <v>262</v>
      </c>
      <c r="B32" s="95"/>
      <c r="C32" s="153"/>
      <c r="D32" s="153"/>
      <c r="E32" s="153"/>
      <c r="F32" s="153"/>
      <c r="G32" s="153">
        <v>0.1</v>
      </c>
      <c r="H32" s="153">
        <v>0.5</v>
      </c>
      <c r="I32" s="153">
        <v>1.0</v>
      </c>
      <c r="J32" s="153">
        <v>1.5</v>
      </c>
      <c r="K32" s="153">
        <v>2.0</v>
      </c>
      <c r="L32" s="153">
        <v>2.5</v>
      </c>
      <c r="M32" s="153">
        <v>3.0</v>
      </c>
      <c r="N32" s="153">
        <v>5.0</v>
      </c>
      <c r="O32" s="153">
        <v>6.0</v>
      </c>
      <c r="P32" s="153">
        <v>5.0</v>
      </c>
    </row>
    <row r="33" spans="8:8">
      <c r="A33" s="23" t="s">
        <v>263</v>
      </c>
      <c r="B33" s="23" t="s">
        <v>196</v>
      </c>
      <c r="C33" s="153"/>
      <c r="D33" s="153"/>
      <c r="E33" s="153"/>
      <c r="F33" s="153"/>
      <c r="G33" s="153">
        <f>G31*G32</f>
        <v>22.5</v>
      </c>
      <c r="H33" s="153">
        <f t="shared" si="10" ref="H33:P33">H31*H32</f>
        <v>112.5</v>
      </c>
      <c r="I33" s="153">
        <f t="shared" si="10"/>
        <v>225.0</v>
      </c>
      <c r="J33" s="153">
        <f t="shared" si="10"/>
        <v>337.5</v>
      </c>
      <c r="K33" s="153">
        <f t="shared" si="10"/>
        <v>450.0</v>
      </c>
      <c r="L33" s="153">
        <f t="shared" si="10"/>
        <v>562.5</v>
      </c>
      <c r="M33" s="153">
        <f t="shared" si="10"/>
        <v>675.0</v>
      </c>
      <c r="N33" s="153">
        <f t="shared" si="10"/>
        <v>1125.0</v>
      </c>
      <c r="O33" s="153">
        <f t="shared" si="10"/>
        <v>1350.0</v>
      </c>
      <c r="P33" s="153">
        <f t="shared" si="10"/>
        <v>1125.0</v>
      </c>
    </row>
    <row r="34" spans="8:8" ht="24.0">
      <c r="A34" s="52" t="s">
        <v>497</v>
      </c>
      <c r="B34" s="53" t="s">
        <v>36</v>
      </c>
      <c r="C34" s="54"/>
      <c r="D34" s="54"/>
      <c r="E34" s="54"/>
      <c r="F34" s="54"/>
      <c r="G34" s="54">
        <f>G33*2225.09</f>
        <v>50064.525</v>
      </c>
      <c r="H34" s="54">
        <f t="shared" si="11" ref="H34:P34">H33*2225.09</f>
        <v>250322.62500000003</v>
      </c>
      <c r="I34" s="54">
        <f t="shared" si="11"/>
        <v>500645.25000000006</v>
      </c>
      <c r="J34" s="54">
        <f t="shared" si="11"/>
        <v>750967.875</v>
      </c>
      <c r="K34" s="54">
        <f t="shared" si="11"/>
        <v>1001290.5000000001</v>
      </c>
      <c r="L34" s="54">
        <f t="shared" si="11"/>
        <v>1251613.125</v>
      </c>
      <c r="M34" s="54">
        <f t="shared" si="11"/>
        <v>1501935.75</v>
      </c>
      <c r="N34" s="54">
        <f>N33*2225.09</f>
        <v>2503226.25</v>
      </c>
      <c r="O34" s="54">
        <f>O33*2225.09</f>
        <v>3003871.5</v>
      </c>
      <c r="P34" s="54">
        <f t="shared" si="11"/>
        <v>2503226.25</v>
      </c>
    </row>
    <row r="35" spans="8:8" s="178" ht="12.0" customFormat="1">
      <c r="A35" s="179" t="s">
        <v>246</v>
      </c>
      <c r="B35" s="179" t="s">
        <v>36</v>
      </c>
      <c r="C35" s="55">
        <f t="shared" si="12" ref="C35:P35">C34-C28</f>
        <v>-327666.875</v>
      </c>
      <c r="D35" s="55">
        <f t="shared" si="12"/>
        <v>-132833.75</v>
      </c>
      <c r="E35" s="55">
        <f t="shared" si="12"/>
        <v>-164250.625</v>
      </c>
      <c r="F35" s="55">
        <f t="shared" si="12"/>
        <v>-180417.5</v>
      </c>
      <c r="G35" s="55">
        <f t="shared" si="12"/>
        <v>-170186.725</v>
      </c>
      <c r="H35" s="55">
        <f t="shared" si="12"/>
        <v>-89974.54999999999</v>
      </c>
      <c r="I35" s="55">
        <f t="shared" si="12"/>
        <v>40302.15000000002</v>
      </c>
      <c r="J35" s="55">
        <f t="shared" si="12"/>
        <v>167578.84999999998</v>
      </c>
      <c r="K35" s="55">
        <f t="shared" si="12"/>
        <v>287855.55000000005</v>
      </c>
      <c r="L35" s="55">
        <f t="shared" si="12"/>
        <v>418049.125</v>
      </c>
      <c r="M35" s="55">
        <f t="shared" si="12"/>
        <v>568242.7</v>
      </c>
      <c r="N35" s="55">
        <f t="shared" si="12"/>
        <v>1169017.0</v>
      </c>
      <c r="O35" s="55">
        <f t="shared" si="12"/>
        <v>1469404.15</v>
      </c>
      <c r="P35" s="55">
        <f t="shared" si="12"/>
        <v>1169017.0</v>
      </c>
      <c r="Q35" s="180"/>
    </row>
    <row r="36" spans="8:8" s="36" ht="12.0" customFormat="1">
      <c r="A36" s="84" t="s">
        <v>264</v>
      </c>
      <c r="B36" s="84" t="s">
        <v>49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>
        <f>M28/M33</f>
        <v>1383.248962962963</v>
      </c>
      <c r="N36" s="60">
        <f>N28/N33</f>
        <v>1185.9637777777778</v>
      </c>
      <c r="O36" s="60">
        <f t="shared" si="13" ref="O36:P36">O28/O33</f>
        <v>1136.6424814814816</v>
      </c>
      <c r="P36" s="60">
        <f t="shared" si="13"/>
        <v>1185.9637777777778</v>
      </c>
      <c r="Q36" s="69"/>
    </row>
    <row r="37" spans="8:8"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60"/>
      <c r="N37" s="160"/>
      <c r="O37" s="160"/>
      <c r="P37" s="159"/>
    </row>
    <row r="38" spans="8:8">
      <c r="C38" s="159"/>
      <c r="D38" s="159"/>
      <c r="E38" s="159"/>
      <c r="F38" s="159"/>
      <c r="G38" s="159"/>
      <c r="H38" s="159"/>
      <c r="I38" s="159"/>
      <c r="J38" s="160"/>
      <c r="K38" s="160"/>
      <c r="L38" s="160"/>
      <c r="M38" s="159"/>
      <c r="N38" s="68"/>
      <c r="O38" s="66"/>
      <c r="P38" s="66"/>
      <c r="Q38" s="66"/>
    </row>
    <row r="39" spans="8:8">
      <c r="J39" s="68"/>
      <c r="K39" s="160"/>
      <c r="L39" s="160"/>
      <c r="N39" s="68"/>
      <c r="O39" s="66"/>
      <c r="P39" s="66"/>
      <c r="Q39" s="66"/>
    </row>
    <row r="40" spans="8:8">
      <c r="J40" s="68"/>
      <c r="K40" s="160"/>
      <c r="L40" s="160"/>
      <c r="N40" s="68"/>
      <c r="O40" s="66"/>
      <c r="P40" s="66"/>
      <c r="Q40" s="66"/>
    </row>
    <row r="41" spans="8:8">
      <c r="J41" s="68"/>
      <c r="K41" s="160"/>
      <c r="L41" s="160"/>
      <c r="N41" s="68"/>
      <c r="O41" s="66"/>
      <c r="P41" s="66"/>
      <c r="Q41" s="66"/>
    </row>
    <row r="42" spans="8:8">
      <c r="A42" s="66" t="s">
        <v>265</v>
      </c>
      <c r="B42" s="98" t="s">
        <v>165</v>
      </c>
      <c r="C42" s="34"/>
      <c r="D42" s="34"/>
      <c r="E42" s="34"/>
      <c r="F42" s="34"/>
      <c r="G42" s="34"/>
      <c r="H42" s="34"/>
      <c r="N42" s="68"/>
      <c r="O42" s="66"/>
      <c r="P42" s="66"/>
      <c r="Q42" s="66"/>
    </row>
    <row r="43" spans="8:8">
      <c r="A43" s="66" t="s">
        <v>248</v>
      </c>
      <c r="B43" s="36"/>
      <c r="C43" s="96"/>
      <c r="D43" s="96"/>
      <c r="E43" s="96"/>
      <c r="F43" s="96"/>
      <c r="G43" s="96"/>
      <c r="H43" s="96"/>
      <c r="O43" s="76" t="s">
        <v>103</v>
      </c>
    </row>
    <row r="44" spans="8:8">
      <c r="A44" s="66" t="s">
        <v>266</v>
      </c>
      <c r="B44" s="36"/>
      <c r="C44" s="96"/>
      <c r="D44" s="96"/>
      <c r="E44" s="96"/>
      <c r="F44" s="96"/>
      <c r="G44" s="96"/>
      <c r="H44" s="96"/>
    </row>
    <row r="45" spans="8:8" s="36" ht="12.0" customFormat="1">
      <c r="A45" s="36" t="s">
        <v>267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69"/>
    </row>
    <row r="46" spans="8:8" s="36" ht="12.0" customFormat="1">
      <c r="A46" s="36" t="s">
        <v>268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69"/>
    </row>
    <row r="47" spans="8:8" ht="28.5" customHeight="1">
      <c r="H47" s="96"/>
    </row>
    <row r="48" spans="8:8">
      <c r="N48" s="96"/>
    </row>
    <row r="49" spans="8:8">
      <c r="A49" s="36" t="s">
        <v>97</v>
      </c>
      <c r="B49" s="36"/>
      <c r="C49" s="96"/>
      <c r="D49" s="96"/>
      <c r="E49" s="96"/>
      <c r="F49" s="96"/>
      <c r="G49" s="96"/>
      <c r="H49" s="96"/>
      <c r="I49" s="96"/>
      <c r="J49" s="96"/>
      <c r="K49" s="96"/>
      <c r="M49" s="96"/>
    </row>
    <row r="50" spans="8:8">
      <c r="A50" s="36" t="s">
        <v>199</v>
      </c>
    </row>
    <row r="51" spans="8:8">
      <c r="A51" s="66" t="s">
        <v>407</v>
      </c>
      <c r="B51" s="61"/>
      <c r="C51" s="2"/>
      <c r="D51" s="2"/>
      <c r="E51" s="2"/>
      <c r="F51" s="2"/>
      <c r="G51" s="61"/>
      <c r="H51" s="2"/>
    </row>
    <row r="52" spans="8:8">
      <c r="A52" s="66" t="s">
        <v>425</v>
      </c>
    </row>
    <row r="53" spans="8:8">
      <c r="A53" s="66" t="s">
        <v>270</v>
      </c>
      <c r="D53" s="96"/>
    </row>
    <row r="54" spans="8:8">
      <c r="A54" s="66" t="s">
        <v>426</v>
      </c>
    </row>
    <row r="55" spans="8:8">
      <c r="A55" s="66" t="s">
        <v>427</v>
      </c>
    </row>
    <row r="56" spans="8:8">
      <c r="A56" s="66" t="s">
        <v>428</v>
      </c>
    </row>
    <row r="57" spans="8:8">
      <c r="A57" s="66" t="s">
        <v>271</v>
      </c>
    </row>
    <row r="58" spans="8:8" s="5" customFormat="1">
      <c r="A58" s="5" t="s">
        <v>170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46"/>
      <c r="R58" s="181"/>
      <c r="S58" s="181"/>
      <c r="T58" s="181"/>
      <c r="U58" s="181"/>
      <c r="V58" s="181"/>
    </row>
  </sheetData>
  <mergeCells count="1">
    <mergeCell ref="A1:P1"/>
  </mergeCells>
  <pageMargins left="0.7" right="0.7" top="0.75" bottom="0.75" header="0.3" footer="0.3"/>
  <pageSetup paperSize="9" scale="89" orientation="landscape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67"/>
  <sheetViews>
    <sheetView workbookViewId="0" zoomScale="88">
      <selection activeCell="C4" sqref="C4"/>
    </sheetView>
  </sheetViews>
  <sheetFormatPr defaultRowHeight="12.75" defaultColWidth="10"/>
  <cols>
    <col min="1" max="1" customWidth="0" width="9.140625" style="182"/>
    <col min="2" max="2" customWidth="1" width="56.0" style="182"/>
    <col min="3" max="3" customWidth="0" width="9.140625" style="182"/>
    <col min="4" max="6" customWidth="1" bestFit="1" width="12.140625" style="182"/>
    <col min="7" max="7" customWidth="1" bestFit="1" width="11.0" style="182"/>
    <col min="8" max="12" customWidth="1" bestFit="1" width="12.140625" style="182"/>
    <col min="13" max="14" customWidth="1" bestFit="1" width="11.0" style="182"/>
    <col min="15" max="15" customWidth="1" bestFit="1" width="11.425781" style="182"/>
    <col min="16" max="16" customWidth="1" width="13.285156" style="182"/>
    <col min="17" max="17" customWidth="1" width="12.5703125" style="182"/>
    <col min="18" max="18" customWidth="0" width="8.855469" style="183"/>
    <col min="19" max="19" customWidth="1" bestFit="1" width="10.285156" style="182"/>
    <col min="20" max="20" customWidth="1" bestFit="1" width="13.140625" style="182"/>
    <col min="21" max="21" customWidth="1" width="11.0" style="182"/>
    <col min="22" max="16384" customWidth="0" width="9.140625" style="182"/>
  </cols>
  <sheetData>
    <row r="2" spans="8:8">
      <c r="D2" s="184"/>
      <c r="E2" s="185"/>
      <c r="F2" s="185"/>
      <c r="G2" s="185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8:8"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8:8">
      <c r="B4" s="186"/>
      <c r="C4" s="187" t="s">
        <v>523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9"/>
    </row>
    <row r="5" spans="8:8">
      <c r="B5" s="190" t="s">
        <v>221</v>
      </c>
      <c r="C5" s="190"/>
      <c r="D5" s="191" t="s">
        <v>70</v>
      </c>
      <c r="E5" s="191" t="s">
        <v>71</v>
      </c>
      <c r="F5" s="191" t="s">
        <v>72</v>
      </c>
      <c r="G5" s="191" t="s">
        <v>66</v>
      </c>
      <c r="H5" s="191" t="s">
        <v>73</v>
      </c>
      <c r="I5" s="191" t="s">
        <v>74</v>
      </c>
      <c r="J5" s="191" t="s">
        <v>75</v>
      </c>
      <c r="K5" s="191" t="s">
        <v>177</v>
      </c>
      <c r="L5" s="191" t="s">
        <v>178</v>
      </c>
      <c r="M5" s="191" t="s">
        <v>222</v>
      </c>
      <c r="N5" s="192" t="s">
        <v>223</v>
      </c>
      <c r="O5" s="191" t="s">
        <v>224</v>
      </c>
      <c r="P5" s="191" t="s">
        <v>225</v>
      </c>
      <c r="Q5" s="193" t="s">
        <v>226</v>
      </c>
      <c r="R5" s="194"/>
    </row>
    <row r="6" spans="8:8">
      <c r="B6" s="190" t="s">
        <v>227</v>
      </c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7"/>
      <c r="R6" s="198"/>
    </row>
    <row r="7" spans="8:8" ht="14.25" customHeight="1">
      <c r="B7" s="199" t="s">
        <v>228</v>
      </c>
      <c r="C7" s="200" t="s">
        <v>204</v>
      </c>
      <c r="D7" s="201">
        <v>20.0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2"/>
      <c r="R7" s="198"/>
    </row>
    <row r="8" spans="8:8">
      <c r="B8" s="195" t="s">
        <v>182</v>
      </c>
      <c r="C8" s="195" t="s">
        <v>204</v>
      </c>
      <c r="D8" s="203">
        <v>15.0</v>
      </c>
      <c r="E8" s="203">
        <v>10.0</v>
      </c>
      <c r="F8" s="203">
        <v>10.0</v>
      </c>
      <c r="G8" s="203">
        <v>10.0</v>
      </c>
      <c r="H8" s="203">
        <v>10.0</v>
      </c>
      <c r="I8" s="203">
        <v>10.0</v>
      </c>
      <c r="J8" s="203">
        <v>10.0</v>
      </c>
      <c r="K8" s="203">
        <v>10.0</v>
      </c>
      <c r="L8" s="203">
        <v>10.0</v>
      </c>
      <c r="M8" s="203">
        <v>10.0</v>
      </c>
      <c r="N8" s="203">
        <v>10.0</v>
      </c>
      <c r="O8" s="203">
        <v>10.0</v>
      </c>
      <c r="P8" s="203">
        <v>10.0</v>
      </c>
      <c r="Q8" s="204">
        <v>10.0</v>
      </c>
      <c r="R8" s="198"/>
    </row>
    <row r="9" spans="8:8">
      <c r="B9" s="205" t="s">
        <v>229</v>
      </c>
      <c r="C9" s="195" t="s">
        <v>204</v>
      </c>
      <c r="D9" s="203">
        <v>4.0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198"/>
    </row>
    <row r="10" spans="8:8">
      <c r="B10" s="206" t="s">
        <v>230</v>
      </c>
      <c r="C10" s="195" t="s">
        <v>204</v>
      </c>
      <c r="D10" s="203">
        <v>3.0</v>
      </c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198"/>
    </row>
    <row r="11" spans="8:8">
      <c r="B11" s="195" t="s">
        <v>231</v>
      </c>
      <c r="C11" s="195" t="s">
        <v>204</v>
      </c>
      <c r="D11" s="203">
        <v>3.0</v>
      </c>
      <c r="E11" s="203">
        <v>1.0</v>
      </c>
      <c r="F11" s="203">
        <v>1.0</v>
      </c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4"/>
      <c r="R11" s="198"/>
    </row>
    <row r="12" spans="8:8">
      <c r="B12" s="205" t="s">
        <v>232</v>
      </c>
      <c r="C12" s="195" t="s">
        <v>204</v>
      </c>
      <c r="D12" s="203">
        <v>8.0</v>
      </c>
      <c r="E12" s="203">
        <v>3.0</v>
      </c>
      <c r="F12" s="203">
        <v>3.0</v>
      </c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4"/>
      <c r="R12" s="198"/>
    </row>
    <row r="13" spans="8:8">
      <c r="B13" s="195" t="s">
        <v>233</v>
      </c>
      <c r="C13" s="195" t="s">
        <v>204</v>
      </c>
      <c r="D13" s="203">
        <v>6.0</v>
      </c>
      <c r="E13" s="203">
        <v>3.0</v>
      </c>
      <c r="F13" s="203">
        <v>1.0</v>
      </c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4"/>
      <c r="R13" s="198"/>
    </row>
    <row r="14" spans="8:8">
      <c r="B14" s="195" t="s">
        <v>11</v>
      </c>
      <c r="C14" s="195" t="s">
        <v>204</v>
      </c>
      <c r="D14" s="203">
        <v>1.0</v>
      </c>
      <c r="E14" s="203">
        <v>1.0</v>
      </c>
      <c r="F14" s="203">
        <v>2.0</v>
      </c>
      <c r="G14" s="203">
        <v>2.0</v>
      </c>
      <c r="H14" s="203">
        <v>2.0</v>
      </c>
      <c r="I14" s="203">
        <v>2.0</v>
      </c>
      <c r="J14" s="203">
        <v>2.0</v>
      </c>
      <c r="K14" s="203">
        <v>2.0</v>
      </c>
      <c r="L14" s="203">
        <v>2.0</v>
      </c>
      <c r="M14" s="203">
        <v>2.0</v>
      </c>
      <c r="N14" s="203">
        <v>2.0</v>
      </c>
      <c r="O14" s="203">
        <v>2.0</v>
      </c>
      <c r="P14" s="203">
        <v>2.0</v>
      </c>
      <c r="Q14" s="204">
        <v>2.0</v>
      </c>
      <c r="R14" s="198"/>
    </row>
    <row r="15" spans="8:8">
      <c r="B15" s="195" t="s">
        <v>234</v>
      </c>
      <c r="C15" s="195" t="s">
        <v>204</v>
      </c>
      <c r="D15" s="203">
        <v>12.0</v>
      </c>
      <c r="E15" s="203">
        <v>9.0</v>
      </c>
      <c r="F15" s="203">
        <v>5.0</v>
      </c>
      <c r="G15" s="203">
        <v>4.0</v>
      </c>
      <c r="H15" s="203">
        <v>4.0</v>
      </c>
      <c r="I15" s="203">
        <v>4.0</v>
      </c>
      <c r="J15" s="203">
        <v>3.0</v>
      </c>
      <c r="K15" s="203">
        <v>3.0</v>
      </c>
      <c r="L15" s="203">
        <v>3.0</v>
      </c>
      <c r="M15" s="203">
        <v>3.0</v>
      </c>
      <c r="N15" s="203">
        <v>3.0</v>
      </c>
      <c r="O15" s="203">
        <v>2.0</v>
      </c>
      <c r="P15" s="203">
        <v>2.0</v>
      </c>
      <c r="Q15" s="204">
        <v>2.0</v>
      </c>
      <c r="R15" s="198"/>
    </row>
    <row r="16" spans="8:8">
      <c r="B16" s="195" t="s">
        <v>235</v>
      </c>
      <c r="C16" s="195"/>
      <c r="D16" s="203"/>
      <c r="E16" s="203"/>
      <c r="F16" s="203">
        <v>3.0</v>
      </c>
      <c r="G16" s="203">
        <v>2.0</v>
      </c>
      <c r="H16" s="203">
        <v>2.0</v>
      </c>
      <c r="I16" s="203">
        <v>2.0</v>
      </c>
      <c r="J16" s="203">
        <v>2.0</v>
      </c>
      <c r="K16" s="203">
        <v>2.0</v>
      </c>
      <c r="L16" s="203">
        <v>2.0</v>
      </c>
      <c r="M16" s="203">
        <v>2.0</v>
      </c>
      <c r="N16" s="203">
        <v>2.0</v>
      </c>
      <c r="O16" s="203">
        <v>2.0</v>
      </c>
      <c r="P16" s="203">
        <v>2.0</v>
      </c>
      <c r="Q16" s="204">
        <v>2.0</v>
      </c>
      <c r="R16" s="198"/>
    </row>
    <row r="17" spans="8:8">
      <c r="B17" s="195" t="s">
        <v>21</v>
      </c>
      <c r="C17" s="195" t="s">
        <v>204</v>
      </c>
      <c r="D17" s="203">
        <v>2.0</v>
      </c>
      <c r="E17" s="203">
        <v>2.0</v>
      </c>
      <c r="F17" s="203">
        <v>2.0</v>
      </c>
      <c r="G17" s="203">
        <v>2.0</v>
      </c>
      <c r="H17" s="203">
        <v>5.0</v>
      </c>
      <c r="I17" s="203">
        <v>5.0</v>
      </c>
      <c r="J17" s="203">
        <v>5.0</v>
      </c>
      <c r="K17" s="203">
        <v>5.0</v>
      </c>
      <c r="L17" s="203">
        <v>5.0</v>
      </c>
      <c r="M17" s="203">
        <v>5.0</v>
      </c>
      <c r="N17" s="203">
        <v>5.0</v>
      </c>
      <c r="O17" s="203">
        <v>5.0</v>
      </c>
      <c r="P17" s="203">
        <v>5.0</v>
      </c>
      <c r="Q17" s="204">
        <v>5.0</v>
      </c>
      <c r="R17" s="198"/>
    </row>
    <row r="18" spans="8:8">
      <c r="B18" s="195" t="s">
        <v>14</v>
      </c>
      <c r="C18" s="195" t="s">
        <v>204</v>
      </c>
      <c r="D18" s="203"/>
      <c r="E18" s="203"/>
      <c r="F18" s="203"/>
      <c r="G18" s="203"/>
      <c r="H18" s="203"/>
      <c r="I18" s="203">
        <v>5.0</v>
      </c>
      <c r="J18" s="203">
        <v>8.0</v>
      </c>
      <c r="K18" s="203">
        <v>13.0</v>
      </c>
      <c r="L18" s="203">
        <v>17.0</v>
      </c>
      <c r="M18" s="203">
        <v>25.0</v>
      </c>
      <c r="N18" s="203">
        <v>55.0</v>
      </c>
      <c r="O18" s="203">
        <v>88.0</v>
      </c>
      <c r="P18" s="203">
        <v>130.0</v>
      </c>
      <c r="Q18" s="204">
        <v>150.0</v>
      </c>
      <c r="R18" s="198"/>
    </row>
    <row r="19" spans="8:8">
      <c r="B19" s="195" t="s">
        <v>236</v>
      </c>
      <c r="C19" s="195" t="s">
        <v>204</v>
      </c>
      <c r="D19" s="203"/>
      <c r="E19" s="203"/>
      <c r="F19" s="203"/>
      <c r="G19" s="203"/>
      <c r="H19" s="203"/>
      <c r="I19" s="203">
        <v>4.0</v>
      </c>
      <c r="J19" s="203">
        <v>6.0</v>
      </c>
      <c r="K19" s="203">
        <v>10.0</v>
      </c>
      <c r="L19" s="203">
        <v>10.0</v>
      </c>
      <c r="M19" s="203">
        <v>14.0</v>
      </c>
      <c r="N19" s="203">
        <v>19.0</v>
      </c>
      <c r="O19" s="203">
        <v>30.0</v>
      </c>
      <c r="P19" s="203">
        <v>50.0</v>
      </c>
      <c r="Q19" s="204">
        <v>60.0</v>
      </c>
      <c r="R19" s="198"/>
    </row>
    <row r="20" spans="8:8">
      <c r="B20" s="195" t="s">
        <v>5</v>
      </c>
      <c r="C20" s="195" t="s">
        <v>204</v>
      </c>
      <c r="D20" s="203">
        <v>5.0</v>
      </c>
      <c r="E20" s="203">
        <v>2.0</v>
      </c>
      <c r="F20" s="203">
        <v>2.0</v>
      </c>
      <c r="G20" s="203">
        <v>2.0</v>
      </c>
      <c r="H20" s="203">
        <v>2.0</v>
      </c>
      <c r="I20" s="203">
        <v>2.0</v>
      </c>
      <c r="J20" s="203">
        <v>3.0</v>
      </c>
      <c r="K20" s="203">
        <v>3.0</v>
      </c>
      <c r="L20" s="203">
        <v>3.0</v>
      </c>
      <c r="M20" s="203">
        <v>3.0</v>
      </c>
      <c r="N20" s="203">
        <v>5.0</v>
      </c>
      <c r="O20" s="203">
        <v>5.0</v>
      </c>
      <c r="P20" s="203">
        <v>5.0</v>
      </c>
      <c r="Q20" s="204">
        <v>5.0</v>
      </c>
      <c r="R20" s="198"/>
    </row>
    <row r="21" spans="8:8">
      <c r="B21" s="195" t="s">
        <v>237</v>
      </c>
      <c r="C21" s="195" t="s">
        <v>204</v>
      </c>
      <c r="D21" s="203">
        <f>SUM(D7:D20)</f>
        <v>79.0</v>
      </c>
      <c r="E21" s="203">
        <f t="shared" si="0" ref="E21:Q21">SUM(E7:E20)</f>
        <v>31.0</v>
      </c>
      <c r="F21" s="203">
        <f t="shared" si="0"/>
        <v>29.0</v>
      </c>
      <c r="G21" s="203">
        <f t="shared" si="0"/>
        <v>22.0</v>
      </c>
      <c r="H21" s="203">
        <f t="shared" si="0"/>
        <v>25.0</v>
      </c>
      <c r="I21" s="203">
        <f t="shared" si="0"/>
        <v>34.0</v>
      </c>
      <c r="J21" s="203">
        <f t="shared" si="0"/>
        <v>39.0</v>
      </c>
      <c r="K21" s="203">
        <f t="shared" si="0"/>
        <v>48.0</v>
      </c>
      <c r="L21" s="203">
        <f t="shared" si="0"/>
        <v>52.0</v>
      </c>
      <c r="M21" s="203">
        <f t="shared" si="0"/>
        <v>64.0</v>
      </c>
      <c r="N21" s="203">
        <f t="shared" si="0"/>
        <v>101.0</v>
      </c>
      <c r="O21" s="203">
        <f t="shared" si="0"/>
        <v>144.0</v>
      </c>
      <c r="P21" s="203">
        <f t="shared" si="0"/>
        <v>206.0</v>
      </c>
      <c r="Q21" s="204">
        <f t="shared" si="0"/>
        <v>236.0</v>
      </c>
      <c r="R21" s="198"/>
    </row>
    <row r="22" spans="8:8">
      <c r="B22" s="195" t="s">
        <v>238</v>
      </c>
      <c r="C22" s="207" t="s">
        <v>208</v>
      </c>
      <c r="D22" s="203">
        <f>D21*2.5</f>
        <v>197.5</v>
      </c>
      <c r="E22" s="203">
        <f t="shared" si="1" ref="E22:Q22">E21*2.5</f>
        <v>77.5</v>
      </c>
      <c r="F22" s="203">
        <f t="shared" si="1"/>
        <v>72.5</v>
      </c>
      <c r="G22" s="203">
        <f t="shared" si="1"/>
        <v>55.0</v>
      </c>
      <c r="H22" s="203">
        <f t="shared" si="1"/>
        <v>62.5</v>
      </c>
      <c r="I22" s="203">
        <f t="shared" si="1"/>
        <v>85.0</v>
      </c>
      <c r="J22" s="203">
        <f t="shared" si="1"/>
        <v>97.5</v>
      </c>
      <c r="K22" s="203">
        <f t="shared" si="1"/>
        <v>120.0</v>
      </c>
      <c r="L22" s="203">
        <f t="shared" si="1"/>
        <v>130.0</v>
      </c>
      <c r="M22" s="203">
        <f t="shared" si="1"/>
        <v>160.0</v>
      </c>
      <c r="N22" s="203">
        <f t="shared" si="1"/>
        <v>252.5</v>
      </c>
      <c r="O22" s="203">
        <f t="shared" si="1"/>
        <v>360.0</v>
      </c>
      <c r="P22" s="203">
        <f t="shared" si="1"/>
        <v>515.0</v>
      </c>
      <c r="Q22" s="204">
        <f t="shared" si="1"/>
        <v>590.0</v>
      </c>
      <c r="R22" s="198"/>
    </row>
    <row r="23" spans="8:8">
      <c r="B23" s="190" t="s">
        <v>252</v>
      </c>
      <c r="C23" s="190" t="s">
        <v>36</v>
      </c>
      <c r="D23" s="208">
        <f>D22*1500</f>
        <v>296250.0</v>
      </c>
      <c r="E23" s="208">
        <f t="shared" si="2" ref="E23:Q23">E22*1500</f>
        <v>116250.0</v>
      </c>
      <c r="F23" s="208">
        <f t="shared" si="2"/>
        <v>108750.0</v>
      </c>
      <c r="G23" s="208">
        <f t="shared" si="2"/>
        <v>82500.0</v>
      </c>
      <c r="H23" s="208">
        <f t="shared" si="2"/>
        <v>93750.0</v>
      </c>
      <c r="I23" s="208">
        <f t="shared" si="2"/>
        <v>127500.0</v>
      </c>
      <c r="J23" s="208">
        <f t="shared" si="2"/>
        <v>146250.0</v>
      </c>
      <c r="K23" s="208">
        <f t="shared" si="2"/>
        <v>180000.0</v>
      </c>
      <c r="L23" s="208">
        <f t="shared" si="2"/>
        <v>195000.0</v>
      </c>
      <c r="M23" s="208">
        <f t="shared" si="2"/>
        <v>240000.0</v>
      </c>
      <c r="N23" s="208">
        <f t="shared" si="2"/>
        <v>378750.0</v>
      </c>
      <c r="O23" s="208">
        <f t="shared" si="2"/>
        <v>540000.0</v>
      </c>
      <c r="P23" s="208">
        <f t="shared" si="2"/>
        <v>772500.0</v>
      </c>
      <c r="Q23" s="208">
        <f t="shared" si="2"/>
        <v>885000.0</v>
      </c>
      <c r="R23" s="198"/>
    </row>
    <row r="24" spans="8:8">
      <c r="B24" s="207"/>
      <c r="C24" s="207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10"/>
      <c r="R24" s="198"/>
    </row>
    <row r="25" spans="8:8">
      <c r="B25" s="190" t="s">
        <v>25</v>
      </c>
      <c r="C25" s="190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2"/>
      <c r="R25" s="198"/>
    </row>
    <row r="26" spans="8:8">
      <c r="B26" s="195" t="s">
        <v>44</v>
      </c>
      <c r="C26" s="195" t="s">
        <v>36</v>
      </c>
      <c r="D26" s="211">
        <v>4000.0</v>
      </c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2"/>
      <c r="R26" s="198"/>
    </row>
    <row r="27" spans="8:8">
      <c r="B27" s="213" t="s">
        <v>239</v>
      </c>
      <c r="C27" s="195" t="s">
        <v>36</v>
      </c>
      <c r="D27" s="211">
        <f>250*150</f>
        <v>37500.0</v>
      </c>
      <c r="E27" s="211">
        <f t="shared" si="3" ref="E27:F27">250*150</f>
        <v>37500.0</v>
      </c>
      <c r="F27" s="211">
        <f t="shared" si="3"/>
        <v>37500.0</v>
      </c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2"/>
      <c r="R27" s="198"/>
    </row>
    <row r="28" spans="8:8">
      <c r="B28" s="213" t="s">
        <v>475</v>
      </c>
      <c r="C28" s="195" t="s">
        <v>240</v>
      </c>
      <c r="D28" s="211">
        <v>16000.0</v>
      </c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2"/>
      <c r="R28" s="198"/>
    </row>
    <row r="29" spans="8:8">
      <c r="B29" s="195" t="s">
        <v>40</v>
      </c>
      <c r="C29" s="195" t="s">
        <v>37</v>
      </c>
      <c r="D29" s="211">
        <v>62.5</v>
      </c>
      <c r="E29" s="211">
        <v>125.0</v>
      </c>
      <c r="F29" s="211">
        <v>187.5</v>
      </c>
      <c r="G29" s="211">
        <v>250.0</v>
      </c>
      <c r="H29" s="211">
        <v>312.5</v>
      </c>
      <c r="I29" s="211">
        <v>375.0</v>
      </c>
      <c r="J29" s="211">
        <v>437.5</v>
      </c>
      <c r="K29" s="211">
        <v>500.0</v>
      </c>
      <c r="L29" s="211">
        <v>562.5</v>
      </c>
      <c r="M29" s="211">
        <v>625.0</v>
      </c>
      <c r="N29" s="211">
        <v>625.0</v>
      </c>
      <c r="O29" s="211">
        <v>625.0</v>
      </c>
      <c r="P29" s="211">
        <v>625.0</v>
      </c>
      <c r="Q29" s="212">
        <v>625.0</v>
      </c>
      <c r="R29" s="198"/>
    </row>
    <row r="30" spans="8:8" s="214" customFormat="1">
      <c r="B30" s="213" t="s">
        <v>487</v>
      </c>
      <c r="C30" s="215" t="s">
        <v>36</v>
      </c>
      <c r="D30" s="216">
        <f>318.67*D29</f>
        <v>19916.875</v>
      </c>
      <c r="E30" s="216">
        <f t="shared" si="4" ref="E30:Q30">318.67*E29</f>
        <v>39833.75</v>
      </c>
      <c r="F30" s="216">
        <f t="shared" si="4"/>
        <v>59750.625</v>
      </c>
      <c r="G30" s="216">
        <f t="shared" si="4"/>
        <v>79667.5</v>
      </c>
      <c r="H30" s="216">
        <f t="shared" si="4"/>
        <v>99584.375</v>
      </c>
      <c r="I30" s="216">
        <f t="shared" si="4"/>
        <v>119501.25</v>
      </c>
      <c r="J30" s="216">
        <f t="shared" si="4"/>
        <v>139418.125</v>
      </c>
      <c r="K30" s="216">
        <f t="shared" si="4"/>
        <v>159335.0</v>
      </c>
      <c r="L30" s="216">
        <f t="shared" si="4"/>
        <v>179251.875</v>
      </c>
      <c r="M30" s="216">
        <f t="shared" si="4"/>
        <v>199168.75</v>
      </c>
      <c r="N30" s="216">
        <f t="shared" si="4"/>
        <v>199168.75</v>
      </c>
      <c r="O30" s="216">
        <f t="shared" si="4"/>
        <v>199168.75</v>
      </c>
      <c r="P30" s="216">
        <f t="shared" si="4"/>
        <v>199168.75</v>
      </c>
      <c r="Q30" s="216">
        <f t="shared" si="4"/>
        <v>199168.75</v>
      </c>
      <c r="R30" s="217"/>
    </row>
    <row r="31" spans="8:8">
      <c r="B31" s="205" t="s">
        <v>134</v>
      </c>
      <c r="C31" s="195" t="s">
        <v>240</v>
      </c>
      <c r="D31" s="211">
        <v>4000.0</v>
      </c>
      <c r="E31" s="211">
        <v>4000.0</v>
      </c>
      <c r="F31" s="211">
        <v>4000.0</v>
      </c>
      <c r="G31" s="211">
        <v>4000.0</v>
      </c>
      <c r="H31" s="211">
        <v>4000.0</v>
      </c>
      <c r="I31" s="211">
        <v>4000.0</v>
      </c>
      <c r="J31" s="211">
        <v>4000.0</v>
      </c>
      <c r="K31" s="211">
        <v>6000.0</v>
      </c>
      <c r="L31" s="211">
        <v>6000.0</v>
      </c>
      <c r="M31" s="211">
        <v>10000.0</v>
      </c>
      <c r="N31" s="211">
        <v>20000.0</v>
      </c>
      <c r="O31" s="211">
        <v>20000.0</v>
      </c>
      <c r="P31" s="211">
        <v>20000.0</v>
      </c>
      <c r="Q31" s="211">
        <v>20000.0</v>
      </c>
      <c r="R31" s="198"/>
    </row>
    <row r="32" spans="8:8">
      <c r="B32" s="190" t="s">
        <v>7</v>
      </c>
      <c r="C32" s="190" t="s">
        <v>36</v>
      </c>
      <c r="D32" s="208">
        <f>D31+D30+D28+D27+D26</f>
        <v>81416.875</v>
      </c>
      <c r="E32" s="208">
        <f t="shared" si="5" ref="E32:Q32">E31+E30+E28+E27+E26</f>
        <v>81333.75</v>
      </c>
      <c r="F32" s="208">
        <f t="shared" si="5"/>
        <v>101250.625</v>
      </c>
      <c r="G32" s="208">
        <f t="shared" si="5"/>
        <v>83667.5</v>
      </c>
      <c r="H32" s="208">
        <f t="shared" si="5"/>
        <v>103584.375</v>
      </c>
      <c r="I32" s="208">
        <f t="shared" si="5"/>
        <v>123501.25</v>
      </c>
      <c r="J32" s="208">
        <f t="shared" si="5"/>
        <v>143418.125</v>
      </c>
      <c r="K32" s="208">
        <f t="shared" si="5"/>
        <v>165335.0</v>
      </c>
      <c r="L32" s="208">
        <f t="shared" si="5"/>
        <v>185251.875</v>
      </c>
      <c r="M32" s="208">
        <f t="shared" si="5"/>
        <v>209168.75</v>
      </c>
      <c r="N32" s="208">
        <f t="shared" si="5"/>
        <v>219168.75</v>
      </c>
      <c r="O32" s="208">
        <f t="shared" si="5"/>
        <v>219168.75</v>
      </c>
      <c r="P32" s="208">
        <f t="shared" si="5"/>
        <v>219168.75</v>
      </c>
      <c r="Q32" s="218">
        <f t="shared" si="5"/>
        <v>219168.75</v>
      </c>
      <c r="R32" s="198"/>
    </row>
    <row r="33" spans="8:8">
      <c r="B33" s="219" t="s">
        <v>13</v>
      </c>
      <c r="C33" s="219" t="s">
        <v>36</v>
      </c>
      <c r="D33" s="220">
        <f>D32+D23</f>
        <v>377666.875</v>
      </c>
      <c r="E33" s="220">
        <f t="shared" si="6" ref="E33:Q33">E32+E23</f>
        <v>197583.75</v>
      </c>
      <c r="F33" s="220">
        <f t="shared" si="6"/>
        <v>210000.625</v>
      </c>
      <c r="G33" s="220">
        <f t="shared" si="6"/>
        <v>166167.5</v>
      </c>
      <c r="H33" s="220">
        <f t="shared" si="6"/>
        <v>197334.375</v>
      </c>
      <c r="I33" s="220">
        <f t="shared" si="6"/>
        <v>251001.25</v>
      </c>
      <c r="J33" s="220">
        <f t="shared" si="6"/>
        <v>289668.125</v>
      </c>
      <c r="K33" s="220">
        <f t="shared" si="6"/>
        <v>345335.0</v>
      </c>
      <c r="L33" s="220">
        <f t="shared" si="6"/>
        <v>380251.875</v>
      </c>
      <c r="M33" s="220">
        <f t="shared" si="6"/>
        <v>449168.75</v>
      </c>
      <c r="N33" s="220">
        <f t="shared" si="6"/>
        <v>597918.75</v>
      </c>
      <c r="O33" s="220">
        <f t="shared" si="6"/>
        <v>759168.75</v>
      </c>
      <c r="P33" s="220">
        <f t="shared" si="6"/>
        <v>991668.75</v>
      </c>
      <c r="Q33" s="221">
        <f t="shared" si="6"/>
        <v>1104168.75</v>
      </c>
      <c r="R33" s="198"/>
      <c r="S33" s="222"/>
      <c r="T33" s="223"/>
      <c r="U33" s="222"/>
    </row>
    <row r="34" spans="8:8">
      <c r="B34" s="207"/>
      <c r="C34" s="207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10"/>
      <c r="R34" s="198"/>
      <c r="S34" s="222"/>
      <c r="T34" s="222"/>
    </row>
    <row r="35" spans="8:8">
      <c r="B35" s="190" t="s">
        <v>18</v>
      </c>
      <c r="C35" s="190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>
        <f>O36/100*70</f>
        <v>840.0</v>
      </c>
      <c r="P35" s="211">
        <f t="shared" si="7" ref="P35:Q35">P36/100*70</f>
        <v>1575.0</v>
      </c>
      <c r="Q35" s="212">
        <f t="shared" si="7"/>
        <v>2100.0</v>
      </c>
      <c r="R35" s="198"/>
      <c r="T35" s="224"/>
      <c r="U35" s="222"/>
    </row>
    <row r="36" spans="8:8">
      <c r="B36" s="195" t="s">
        <v>241</v>
      </c>
      <c r="C36" s="190"/>
      <c r="D36" s="211"/>
      <c r="E36" s="211"/>
      <c r="F36" s="211"/>
      <c r="G36" s="211"/>
      <c r="H36" s="211"/>
      <c r="I36" s="211">
        <v>30.0</v>
      </c>
      <c r="J36" s="211">
        <v>60.0</v>
      </c>
      <c r="K36" s="211">
        <v>150.0</v>
      </c>
      <c r="L36" s="211">
        <v>300.0</v>
      </c>
      <c r="M36" s="211">
        <v>500.0</v>
      </c>
      <c r="N36" s="211">
        <v>750.0</v>
      </c>
      <c r="O36" s="211">
        <v>1200.0</v>
      </c>
      <c r="P36" s="211">
        <v>2250.0</v>
      </c>
      <c r="Q36" s="212">
        <v>3000.0</v>
      </c>
      <c r="R36" s="198"/>
    </row>
    <row r="37" spans="8:8">
      <c r="B37" s="195" t="s">
        <v>452</v>
      </c>
      <c r="C37" s="190"/>
      <c r="D37" s="211"/>
      <c r="E37" s="211"/>
      <c r="F37" s="211"/>
      <c r="G37" s="211"/>
      <c r="H37" s="211"/>
      <c r="I37" s="211">
        <v>50.0</v>
      </c>
      <c r="J37" s="211">
        <v>55.0</v>
      </c>
      <c r="K37" s="211">
        <v>60.0</v>
      </c>
      <c r="L37" s="211">
        <v>64.0</v>
      </c>
      <c r="M37" s="211">
        <v>70.0</v>
      </c>
      <c r="N37" s="211">
        <v>80.0</v>
      </c>
      <c r="O37" s="211">
        <v>80.0</v>
      </c>
      <c r="P37" s="211">
        <v>80.0</v>
      </c>
      <c r="Q37" s="212">
        <v>80.0</v>
      </c>
      <c r="R37" s="198"/>
    </row>
    <row r="38" spans="8:8">
      <c r="B38" s="195" t="s">
        <v>450</v>
      </c>
      <c r="C38" s="190"/>
      <c r="D38" s="211"/>
      <c r="E38" s="211"/>
      <c r="F38" s="211"/>
      <c r="G38" s="211"/>
      <c r="H38" s="211"/>
      <c r="I38" s="211">
        <f>250*I37/100-5</f>
        <v>120.0</v>
      </c>
      <c r="J38" s="211">
        <f t="shared" si="8" ref="J38:Q38">250*J37/100-5</f>
        <v>132.5</v>
      </c>
      <c r="K38" s="211">
        <f t="shared" si="8"/>
        <v>145.0</v>
      </c>
      <c r="L38" s="211">
        <f t="shared" si="8"/>
        <v>155.0</v>
      </c>
      <c r="M38" s="211">
        <f t="shared" si="8"/>
        <v>170.0</v>
      </c>
      <c r="N38" s="211">
        <f t="shared" si="8"/>
        <v>195.0</v>
      </c>
      <c r="O38" s="211">
        <f t="shared" si="8"/>
        <v>195.0</v>
      </c>
      <c r="P38" s="211">
        <f t="shared" si="8"/>
        <v>195.0</v>
      </c>
      <c r="Q38" s="211">
        <f t="shared" si="8"/>
        <v>195.0</v>
      </c>
      <c r="R38" s="198"/>
    </row>
    <row r="39" spans="8:8">
      <c r="B39" s="195" t="s">
        <v>449</v>
      </c>
      <c r="C39" s="190"/>
      <c r="D39" s="211"/>
      <c r="E39" s="211"/>
      <c r="F39" s="211"/>
      <c r="G39" s="211"/>
      <c r="H39" s="211"/>
      <c r="I39" s="211">
        <f>I36*I38</f>
        <v>3600.0</v>
      </c>
      <c r="J39" s="211">
        <f t="shared" si="9" ref="J39:Q39">J36*J38</f>
        <v>7950.0</v>
      </c>
      <c r="K39" s="211">
        <f t="shared" si="9"/>
        <v>21750.0</v>
      </c>
      <c r="L39" s="211">
        <f t="shared" si="9"/>
        <v>46500.0</v>
      </c>
      <c r="M39" s="211">
        <f t="shared" si="9"/>
        <v>85000.0</v>
      </c>
      <c r="N39" s="211">
        <f t="shared" si="9"/>
        <v>146250.0</v>
      </c>
      <c r="O39" s="211">
        <f t="shared" si="9"/>
        <v>234000.0</v>
      </c>
      <c r="P39" s="211">
        <f t="shared" si="9"/>
        <v>438750.0</v>
      </c>
      <c r="Q39" s="211">
        <f t="shared" si="9"/>
        <v>585000.0</v>
      </c>
      <c r="R39" s="198"/>
      <c r="S39" s="222"/>
    </row>
    <row r="40" spans="8:8" s="214" customFormat="1">
      <c r="B40" s="213" t="s">
        <v>242</v>
      </c>
      <c r="C40" s="215" t="s">
        <v>243</v>
      </c>
      <c r="D40" s="225"/>
      <c r="E40" s="225"/>
      <c r="F40" s="225"/>
      <c r="G40" s="225"/>
      <c r="H40" s="225"/>
      <c r="I40" s="225">
        <f>I39/200</f>
        <v>18.0</v>
      </c>
      <c r="J40" s="225">
        <f t="shared" si="10" ref="J40:K40">J39/200</f>
        <v>39.75</v>
      </c>
      <c r="K40" s="225">
        <f t="shared" si="10"/>
        <v>108.75</v>
      </c>
      <c r="L40" s="225">
        <f t="shared" si="11" ref="L40">L39/200</f>
        <v>232.5</v>
      </c>
      <c r="M40" s="225">
        <f t="shared" si="12" ref="M40">M39/200</f>
        <v>425.0</v>
      </c>
      <c r="N40" s="225">
        <f t="shared" si="13" ref="N40">N39/200</f>
        <v>731.25</v>
      </c>
      <c r="O40" s="225">
        <f t="shared" si="14" ref="O40">O39/200</f>
        <v>1170.0</v>
      </c>
      <c r="P40" s="225">
        <f t="shared" si="15" ref="P40">P39/200</f>
        <v>2193.75</v>
      </c>
      <c r="Q40" s="225">
        <f t="shared" si="16" ref="Q40">Q39/200</f>
        <v>2925.0</v>
      </c>
      <c r="R40" s="217"/>
    </row>
    <row r="41" spans="8:8">
      <c r="B41" s="195" t="s">
        <v>244</v>
      </c>
      <c r="C41" s="195" t="s">
        <v>243</v>
      </c>
      <c r="D41" s="211"/>
      <c r="E41" s="211"/>
      <c r="F41" s="211"/>
      <c r="G41" s="211"/>
      <c r="H41" s="211"/>
      <c r="I41" s="211">
        <f>(I40*0.15)</f>
        <v>2.6999999999999997</v>
      </c>
      <c r="J41" s="211">
        <f t="shared" si="17" ref="J41:Q41">(J40*0.15)</f>
        <v>5.9624999999999995</v>
      </c>
      <c r="K41" s="211">
        <f t="shared" si="17"/>
        <v>16.3125</v>
      </c>
      <c r="L41" s="211">
        <f t="shared" si="17"/>
        <v>34.875</v>
      </c>
      <c r="M41" s="211">
        <f t="shared" si="17"/>
        <v>63.75</v>
      </c>
      <c r="N41" s="211">
        <f t="shared" si="17"/>
        <v>109.6875</v>
      </c>
      <c r="O41" s="211">
        <f t="shared" si="17"/>
        <v>175.5</v>
      </c>
      <c r="P41" s="211">
        <f t="shared" si="17"/>
        <v>329.0625</v>
      </c>
      <c r="Q41" s="211">
        <f t="shared" si="17"/>
        <v>438.75</v>
      </c>
      <c r="R41" s="226"/>
    </row>
    <row r="42" spans="8:8" ht="29.25" customHeight="1">
      <c r="B42" s="205" t="s">
        <v>499</v>
      </c>
      <c r="C42" s="195" t="s">
        <v>36</v>
      </c>
      <c r="D42" s="211"/>
      <c r="E42" s="211"/>
      <c r="F42" s="211"/>
      <c r="G42" s="211"/>
      <c r="H42" s="211"/>
      <c r="I42" s="211">
        <f>I40*1144.05</f>
        <v>20592.899999999998</v>
      </c>
      <c r="J42" s="211">
        <f t="shared" si="18" ref="J42:Q42">J40*1144.05</f>
        <v>45475.987499999996</v>
      </c>
      <c r="K42" s="211">
        <f t="shared" si="18"/>
        <v>124415.4375</v>
      </c>
      <c r="L42" s="211">
        <f t="shared" si="18"/>
        <v>265991.625</v>
      </c>
      <c r="M42" s="211">
        <f t="shared" si="18"/>
        <v>486221.25</v>
      </c>
      <c r="N42" s="211">
        <f t="shared" si="18"/>
        <v>836586.5625</v>
      </c>
      <c r="O42" s="211">
        <f t="shared" si="18"/>
        <v>1338538.5</v>
      </c>
      <c r="P42" s="211">
        <f t="shared" si="18"/>
        <v>2509759.6875</v>
      </c>
      <c r="Q42" s="211">
        <f t="shared" si="18"/>
        <v>3346346.25</v>
      </c>
      <c r="R42" s="198"/>
    </row>
    <row r="43" spans="8:8">
      <c r="B43" s="195" t="s">
        <v>500</v>
      </c>
      <c r="C43" s="195" t="s">
        <v>36</v>
      </c>
      <c r="D43" s="211"/>
      <c r="E43" s="211"/>
      <c r="F43" s="211"/>
      <c r="G43" s="211"/>
      <c r="H43" s="211"/>
      <c r="I43" s="211">
        <f>I41*5199.23</f>
        <v>14037.920999999997</v>
      </c>
      <c r="J43" s="211">
        <f t="shared" si="19" ref="J43:P43">J41*5199.23</f>
        <v>31000.408874999994</v>
      </c>
      <c r="K43" s="211">
        <f t="shared" si="19"/>
        <v>84812.43937499999</v>
      </c>
      <c r="L43" s="211">
        <f t="shared" si="19"/>
        <v>181323.14625</v>
      </c>
      <c r="M43" s="211">
        <f t="shared" si="19"/>
        <v>331450.9125</v>
      </c>
      <c r="N43" s="211">
        <f t="shared" si="19"/>
        <v>570290.5406249999</v>
      </c>
      <c r="O43" s="211">
        <f t="shared" si="19"/>
        <v>912464.8649999999</v>
      </c>
      <c r="P43" s="211">
        <f t="shared" si="19"/>
        <v>1710871.621875</v>
      </c>
      <c r="Q43" s="211">
        <f>Q41*5199.23</f>
        <v>2281162.1624999996</v>
      </c>
      <c r="R43" s="198"/>
    </row>
    <row r="44" spans="8:8">
      <c r="B44" s="227" t="s">
        <v>245</v>
      </c>
      <c r="C44" s="227" t="s">
        <v>36</v>
      </c>
      <c r="D44" s="228"/>
      <c r="E44" s="228"/>
      <c r="F44" s="228"/>
      <c r="G44" s="228"/>
      <c r="H44" s="228"/>
      <c r="I44" s="228">
        <f>I43+I42</f>
        <v>34630.821</v>
      </c>
      <c r="J44" s="228">
        <f t="shared" si="20" ref="J44:Q44">J43+J42</f>
        <v>76476.39637500001</v>
      </c>
      <c r="K44" s="228">
        <f t="shared" si="20"/>
        <v>209227.87687500002</v>
      </c>
      <c r="L44" s="228">
        <f t="shared" si="20"/>
        <v>447314.77125</v>
      </c>
      <c r="M44" s="228">
        <f t="shared" si="20"/>
        <v>817672.1625</v>
      </c>
      <c r="N44" s="228">
        <f t="shared" si="20"/>
        <v>1406877.103125</v>
      </c>
      <c r="O44" s="228">
        <f t="shared" si="20"/>
        <v>2251003.365</v>
      </c>
      <c r="P44" s="228">
        <f t="shared" si="20"/>
        <v>4220631.309375</v>
      </c>
      <c r="Q44" s="228">
        <f t="shared" si="20"/>
        <v>5627508.4125</v>
      </c>
      <c r="R44" s="198"/>
      <c r="T44" s="229"/>
    </row>
    <row r="45" spans="8:8" s="230" customFormat="1">
      <c r="B45" s="231" t="s">
        <v>246</v>
      </c>
      <c r="C45" s="231" t="s">
        <v>36</v>
      </c>
      <c r="D45" s="232">
        <f t="shared" si="21" ref="D45:Q45">D44-D33</f>
        <v>-377666.875</v>
      </c>
      <c r="E45" s="232">
        <f t="shared" si="21"/>
        <v>-197583.75</v>
      </c>
      <c r="F45" s="232">
        <f t="shared" si="21"/>
        <v>-210000.625</v>
      </c>
      <c r="G45" s="232">
        <f t="shared" si="21"/>
        <v>-166167.5</v>
      </c>
      <c r="H45" s="232">
        <f t="shared" si="21"/>
        <v>-197334.375</v>
      </c>
      <c r="I45" s="232">
        <f t="shared" si="21"/>
        <v>-216370.429</v>
      </c>
      <c r="J45" s="232">
        <f t="shared" si="21"/>
        <v>-213191.728625</v>
      </c>
      <c r="K45" s="232">
        <f t="shared" si="21"/>
        <v>-136107.123125</v>
      </c>
      <c r="L45" s="232">
        <f t="shared" si="21"/>
        <v>67062.89624999999</v>
      </c>
      <c r="M45" s="232">
        <f t="shared" si="21"/>
        <v>368503.4125</v>
      </c>
      <c r="N45" s="232">
        <f t="shared" si="21"/>
        <v>808958.3531249999</v>
      </c>
      <c r="O45" s="232">
        <f t="shared" si="21"/>
        <v>1491834.6150000002</v>
      </c>
      <c r="P45" s="232">
        <f t="shared" si="21"/>
        <v>3228962.559375</v>
      </c>
      <c r="Q45" s="232">
        <f t="shared" si="21"/>
        <v>4523339.6625</v>
      </c>
      <c r="R45" s="233"/>
    </row>
    <row r="46" spans="8:8">
      <c r="B46" s="234" t="s">
        <v>247</v>
      </c>
      <c r="C46" s="235" t="s">
        <v>49</v>
      </c>
      <c r="D46" s="236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>
        <f>P33/P40</f>
        <v>452.04273504273505</v>
      </c>
      <c r="Q46" s="237"/>
      <c r="R46" s="189"/>
    </row>
    <row r="47" spans="8:8"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9"/>
      <c r="P47" s="239"/>
      <c r="Q47" s="238"/>
    </row>
    <row r="48" spans="8:8">
      <c r="D48" s="238"/>
      <c r="E48" s="240"/>
      <c r="F48" s="240"/>
      <c r="G48" s="240"/>
      <c r="H48" s="238"/>
      <c r="I48" s="238"/>
      <c r="J48" s="238"/>
      <c r="K48" s="238"/>
      <c r="L48" s="238"/>
      <c r="M48" s="238"/>
      <c r="N48" s="238"/>
      <c r="O48" s="239"/>
      <c r="P48" s="239"/>
      <c r="Q48" s="238"/>
    </row>
    <row r="49" spans="8:8">
      <c r="D49" s="184"/>
      <c r="E49" s="241"/>
      <c r="F49" s="241"/>
      <c r="G49" s="241"/>
      <c r="H49" s="184"/>
      <c r="I49" s="184"/>
      <c r="J49" s="184"/>
      <c r="K49" s="184"/>
      <c r="L49" s="184"/>
      <c r="M49" s="184"/>
      <c r="N49" s="184"/>
      <c r="O49" s="183"/>
      <c r="P49" s="183"/>
      <c r="Q49" s="184"/>
    </row>
    <row r="50" spans="8:8">
      <c r="D50" s="184"/>
      <c r="E50" s="241"/>
      <c r="F50" s="241"/>
      <c r="G50" s="241"/>
      <c r="H50" s="184"/>
      <c r="I50" s="184"/>
      <c r="J50" s="184"/>
      <c r="K50" s="184"/>
      <c r="L50" s="184"/>
      <c r="M50" s="184"/>
      <c r="N50" s="184"/>
      <c r="O50" s="183"/>
      <c r="P50" s="183"/>
      <c r="Q50" s="184"/>
    </row>
    <row r="51" spans="8:8">
      <c r="B51" s="242" t="s">
        <v>60</v>
      </c>
      <c r="C51" s="186" t="s">
        <v>224</v>
      </c>
      <c r="D51" s="188"/>
      <c r="E51" s="243"/>
      <c r="F51" s="243"/>
      <c r="G51" s="243"/>
      <c r="H51" s="188"/>
      <c r="I51" s="188"/>
      <c r="J51" s="188"/>
      <c r="K51" s="188"/>
      <c r="L51" s="188"/>
      <c r="M51" s="188"/>
      <c r="N51" s="188"/>
      <c r="O51" s="184" t="s">
        <v>103</v>
      </c>
      <c r="P51" s="188"/>
      <c r="Q51" s="188"/>
    </row>
    <row r="52" spans="8:8">
      <c r="B52" s="244" t="s">
        <v>248</v>
      </c>
      <c r="C52" s="186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8:8">
      <c r="B53" s="244" t="s">
        <v>249</v>
      </c>
      <c r="C53" s="186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4"/>
      <c r="O53" s="184"/>
      <c r="P53" s="184"/>
      <c r="Q53" s="184"/>
    </row>
    <row r="54" spans="8:8">
      <c r="B54" s="245" t="s">
        <v>250</v>
      </c>
      <c r="C54" s="187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185"/>
      <c r="O54" s="185"/>
      <c r="P54" s="185"/>
      <c r="Q54" s="185"/>
      <c r="R54" s="247"/>
    </row>
    <row r="55" spans="8:8">
      <c r="B55" s="245" t="s">
        <v>251</v>
      </c>
      <c r="C55" s="187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185"/>
      <c r="O55" s="185"/>
      <c r="P55" s="185"/>
      <c r="Q55" s="185"/>
      <c r="R55" s="247"/>
    </row>
    <row r="56" spans="8:8">
      <c r="B56" s="248"/>
      <c r="C56" s="248"/>
      <c r="D56" s="249"/>
      <c r="E56" s="249"/>
      <c r="F56" s="249"/>
      <c r="G56" s="249"/>
      <c r="H56" s="249"/>
      <c r="I56" s="249"/>
      <c r="J56" s="249"/>
      <c r="K56" s="188"/>
      <c r="L56" s="188"/>
      <c r="M56" s="188"/>
      <c r="N56" s="184"/>
      <c r="O56" s="184"/>
      <c r="P56" s="184"/>
      <c r="Q56" s="184"/>
    </row>
    <row r="57" spans="8:8">
      <c r="B57" s="186"/>
      <c r="C57" s="186"/>
      <c r="D57" s="188"/>
      <c r="E57" s="184"/>
      <c r="F57" s="184"/>
      <c r="G57" s="184"/>
      <c r="H57" s="188"/>
      <c r="I57" s="188"/>
      <c r="J57" s="188"/>
      <c r="K57" s="188"/>
      <c r="L57" s="188"/>
      <c r="M57" s="188"/>
      <c r="N57" s="188"/>
      <c r="O57" s="246"/>
      <c r="P57" s="246"/>
      <c r="Q57" s="246"/>
    </row>
    <row r="58" spans="8:8">
      <c r="B58" s="187" t="s">
        <v>97</v>
      </c>
      <c r="C58" s="186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246"/>
      <c r="P58" s="246"/>
      <c r="Q58" s="246"/>
    </row>
    <row r="59" spans="8:8">
      <c r="B59" s="245" t="s">
        <v>199</v>
      </c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</row>
    <row r="60" spans="8:8" s="250" customFormat="1">
      <c r="A60" s="244"/>
      <c r="B60" s="244" t="s">
        <v>407</v>
      </c>
      <c r="C60" s="251"/>
      <c r="D60" s="188"/>
      <c r="E60" s="188"/>
      <c r="F60" s="188"/>
      <c r="G60" s="188"/>
      <c r="H60" s="251"/>
      <c r="I60" s="188"/>
      <c r="J60" s="188"/>
      <c r="K60" s="188"/>
      <c r="L60" s="188"/>
      <c r="M60" s="184"/>
      <c r="N60" s="184"/>
      <c r="O60" s="244"/>
      <c r="P60" s="244"/>
      <c r="Q60" s="244"/>
      <c r="R60" s="244"/>
      <c r="S60" s="244"/>
      <c r="T60" s="244"/>
      <c r="U60" s="244"/>
      <c r="V60" s="244"/>
      <c r="W60" s="244"/>
      <c r="X60" s="244"/>
    </row>
    <row r="61" spans="8:8">
      <c r="B61" s="186" t="s">
        <v>421</v>
      </c>
      <c r="C61" s="186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4"/>
      <c r="O61" s="188"/>
      <c r="P61" s="188"/>
      <c r="Q61" s="188"/>
    </row>
    <row r="62" spans="8:8">
      <c r="B62" s="186" t="s">
        <v>422</v>
      </c>
      <c r="C62" s="186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4"/>
      <c r="O62" s="188"/>
      <c r="P62" s="188"/>
      <c r="Q62" s="188"/>
    </row>
    <row r="63" spans="8:8">
      <c r="B63" s="186" t="s">
        <v>423</v>
      </c>
      <c r="C63" s="186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4"/>
      <c r="P63" s="188"/>
      <c r="Q63" s="188"/>
    </row>
    <row r="64" spans="8:8">
      <c r="B64" s="186" t="s">
        <v>462</v>
      </c>
      <c r="C64" s="186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4"/>
      <c r="P64" s="188"/>
      <c r="Q64" s="188"/>
    </row>
    <row r="65" spans="8:8">
      <c r="B65" s="186" t="s">
        <v>424</v>
      </c>
      <c r="C65" s="186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8:8">
      <c r="B66" s="252" t="s">
        <v>170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247"/>
    </row>
    <row r="67" spans="8:8">
      <c r="B67" s="187"/>
      <c r="C67" s="186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</sheetData>
  <pageMargins left="0.7" right="0.7" top="0.75" bottom="0.75" header="0.3" footer="0.3"/>
  <pageSetup paperSize="9" scale="76" orientation="landscape"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74"/>
  <sheetViews>
    <sheetView workbookViewId="0">
      <selection activeCell="A1" sqref="A1:E1"/>
    </sheetView>
  </sheetViews>
  <sheetFormatPr defaultRowHeight="12.75" defaultColWidth="10"/>
  <cols>
    <col min="1" max="1" customWidth="1" width="43.710938" style="0"/>
    <col min="2" max="2" customWidth="1" width="22.0" style="0"/>
    <col min="3" max="3" customWidth="1" width="13.425781" style="34"/>
    <col min="4" max="4" customWidth="1" width="13.285156" style="34"/>
    <col min="5" max="5" customWidth="1" width="13.425781" style="34"/>
    <col min="6" max="6" customWidth="1" bestFit="1" width="9.425781" style="253"/>
  </cols>
  <sheetData>
    <row r="1" spans="8:8" s="66" ht="23.25" customFormat="1" customHeight="1">
      <c r="A1" s="254" t="s">
        <v>524</v>
      </c>
      <c r="B1" s="254"/>
      <c r="C1" s="254"/>
      <c r="D1" s="254"/>
      <c r="E1" s="254"/>
      <c r="F1" s="70"/>
    </row>
    <row r="2" spans="8:8" s="66" ht="12.0" customFormat="1">
      <c r="A2" s="95" t="s">
        <v>221</v>
      </c>
      <c r="B2" s="95" t="s">
        <v>2</v>
      </c>
      <c r="C2" s="147" t="s">
        <v>70</v>
      </c>
      <c r="D2" s="147" t="s">
        <v>71</v>
      </c>
      <c r="E2" s="147" t="s">
        <v>72</v>
      </c>
      <c r="F2" s="255"/>
      <c r="G2" s="36"/>
      <c r="H2" s="36"/>
      <c r="I2" s="36"/>
      <c r="J2" s="36"/>
      <c r="K2" s="36"/>
      <c r="L2" s="36"/>
    </row>
    <row r="3" spans="8:8" s="36" ht="12.0" customFormat="1">
      <c r="A3" s="95" t="s">
        <v>227</v>
      </c>
      <c r="B3" s="95"/>
      <c r="C3" s="148"/>
      <c r="D3" s="148"/>
      <c r="E3" s="148"/>
      <c r="F3" s="70"/>
      <c r="G3" s="66"/>
      <c r="K3" s="66"/>
      <c r="L3" s="66"/>
    </row>
    <row r="4" spans="8:8" ht="25.5">
      <c r="A4" s="256" t="s">
        <v>273</v>
      </c>
      <c r="B4" s="257" t="s">
        <v>274</v>
      </c>
      <c r="C4" s="100">
        <v>8.0</v>
      </c>
      <c r="D4" s="100"/>
      <c r="E4" s="100"/>
      <c r="H4" s="66"/>
      <c r="I4" s="66"/>
      <c r="J4" s="66"/>
    </row>
    <row r="5" spans="8:8" ht="25.5">
      <c r="A5" s="258" t="s">
        <v>275</v>
      </c>
      <c r="B5" s="257" t="s">
        <v>274</v>
      </c>
      <c r="C5" s="100">
        <v>8.0</v>
      </c>
      <c r="D5" s="100"/>
      <c r="E5" s="100"/>
    </row>
    <row r="6" spans="8:8">
      <c r="A6" s="256" t="s">
        <v>276</v>
      </c>
      <c r="B6" s="257" t="s">
        <v>274</v>
      </c>
      <c r="C6" s="100">
        <v>4.0</v>
      </c>
      <c r="D6" s="100"/>
      <c r="E6" s="100"/>
    </row>
    <row r="7" spans="8:8" ht="25.5" customHeight="1">
      <c r="A7" s="256" t="s">
        <v>277</v>
      </c>
      <c r="B7" s="257" t="s">
        <v>274</v>
      </c>
      <c r="C7" s="100">
        <v>12.0</v>
      </c>
      <c r="D7" s="100"/>
      <c r="E7" s="100"/>
    </row>
    <row r="8" spans="8:8">
      <c r="A8" s="259" t="s">
        <v>278</v>
      </c>
      <c r="B8" s="257" t="s">
        <v>274</v>
      </c>
      <c r="C8" s="100">
        <v>2.0</v>
      </c>
      <c r="D8" s="100"/>
      <c r="E8" s="100"/>
    </row>
    <row r="9" spans="8:8">
      <c r="A9" s="258" t="s">
        <v>279</v>
      </c>
      <c r="B9" s="257" t="s">
        <v>274</v>
      </c>
      <c r="C9" s="100">
        <v>25.0</v>
      </c>
      <c r="D9" s="100"/>
      <c r="E9" s="100"/>
    </row>
    <row r="10" spans="8:8" ht="25.5">
      <c r="A10" s="256" t="s">
        <v>280</v>
      </c>
      <c r="B10" s="257" t="s">
        <v>274</v>
      </c>
      <c r="C10" s="100">
        <v>30.0</v>
      </c>
      <c r="D10" s="100"/>
      <c r="E10" s="100"/>
    </row>
    <row r="11" spans="8:8">
      <c r="A11" s="256" t="s">
        <v>281</v>
      </c>
      <c r="B11" s="257" t="s">
        <v>274</v>
      </c>
      <c r="C11" s="100"/>
      <c r="D11" s="100">
        <v>3.0</v>
      </c>
      <c r="E11" s="100">
        <v>8.0</v>
      </c>
    </row>
    <row r="12" spans="8:8" ht="15.75" customHeight="1">
      <c r="A12" s="256" t="s">
        <v>282</v>
      </c>
      <c r="B12" s="257" t="s">
        <v>274</v>
      </c>
      <c r="C12" s="100">
        <v>60.0</v>
      </c>
      <c r="D12" s="100">
        <v>60.0</v>
      </c>
      <c r="E12" s="100">
        <v>60.0</v>
      </c>
    </row>
    <row r="13" spans="8:8">
      <c r="A13" s="260" t="s">
        <v>283</v>
      </c>
      <c r="B13" s="257" t="s">
        <v>274</v>
      </c>
      <c r="C13" s="100">
        <v>8.0</v>
      </c>
      <c r="D13" s="100">
        <v>8.0</v>
      </c>
      <c r="E13" s="100">
        <v>8.0</v>
      </c>
    </row>
    <row r="14" spans="8:8">
      <c r="A14" s="258" t="s">
        <v>284</v>
      </c>
      <c r="B14" s="257" t="s">
        <v>274</v>
      </c>
      <c r="C14" s="100">
        <v>3.0</v>
      </c>
      <c r="D14" s="100">
        <v>6.0</v>
      </c>
      <c r="E14" s="100">
        <v>6.0</v>
      </c>
    </row>
    <row r="15" spans="8:8">
      <c r="A15" s="260" t="s">
        <v>285</v>
      </c>
      <c r="B15" s="257" t="s">
        <v>274</v>
      </c>
      <c r="C15" s="100">
        <v>10.0</v>
      </c>
      <c r="D15" s="100">
        <v>10.0</v>
      </c>
      <c r="E15" s="100">
        <v>10.0</v>
      </c>
    </row>
    <row r="16" spans="8:8">
      <c r="A16" s="256" t="s">
        <v>286</v>
      </c>
      <c r="B16" s="257" t="s">
        <v>274</v>
      </c>
      <c r="C16" s="100">
        <v>8.0</v>
      </c>
      <c r="D16" s="100">
        <v>8.0</v>
      </c>
      <c r="E16" s="100">
        <v>8.0</v>
      </c>
    </row>
    <row r="17" spans="8:8" ht="16.5" customHeight="1">
      <c r="A17" s="258" t="s">
        <v>287</v>
      </c>
      <c r="B17" s="257" t="s">
        <v>274</v>
      </c>
      <c r="C17" s="100">
        <v>10.0</v>
      </c>
      <c r="D17" s="100">
        <v>10.0</v>
      </c>
      <c r="E17" s="100">
        <v>10.0</v>
      </c>
    </row>
    <row r="18" spans="8:8">
      <c r="A18" s="259" t="s">
        <v>288</v>
      </c>
      <c r="B18" s="257" t="s">
        <v>274</v>
      </c>
      <c r="C18" s="100">
        <v>40.0</v>
      </c>
      <c r="D18" s="100">
        <v>81.0</v>
      </c>
      <c r="E18" s="100">
        <v>69.0</v>
      </c>
    </row>
    <row r="19" spans="8:8">
      <c r="A19" s="256" t="s">
        <v>289</v>
      </c>
      <c r="B19" s="257" t="s">
        <v>274</v>
      </c>
      <c r="C19" s="100">
        <v>30.0</v>
      </c>
      <c r="D19" s="100">
        <v>38.0</v>
      </c>
      <c r="E19" s="100">
        <v>30.0</v>
      </c>
    </row>
    <row r="20" spans="8:8">
      <c r="A20" s="260" t="s">
        <v>290</v>
      </c>
      <c r="B20" s="257" t="s">
        <v>274</v>
      </c>
      <c r="C20" s="100">
        <v>5.0</v>
      </c>
      <c r="D20" s="100">
        <v>5.0</v>
      </c>
      <c r="E20" s="100">
        <v>5.0</v>
      </c>
    </row>
    <row r="21" spans="8:8">
      <c r="A21" s="258" t="s">
        <v>291</v>
      </c>
      <c r="B21" s="257" t="s">
        <v>274</v>
      </c>
      <c r="C21" s="100">
        <f>SUM(C4:C20)</f>
        <v>263.0</v>
      </c>
      <c r="D21" s="100">
        <f t="shared" si="0" ref="D21:E21">SUM(D4:D20)</f>
        <v>229.0</v>
      </c>
      <c r="E21" s="100">
        <f t="shared" si="0"/>
        <v>214.0</v>
      </c>
    </row>
    <row r="22" spans="8:8">
      <c r="A22" s="261" t="s">
        <v>317</v>
      </c>
      <c r="B22" s="262" t="s">
        <v>292</v>
      </c>
      <c r="C22" s="263">
        <f>C21*1500</f>
        <v>394500.0</v>
      </c>
      <c r="D22" s="263">
        <f t="shared" si="1" ref="D22:E22">D21*1500</f>
        <v>343500.0</v>
      </c>
      <c r="E22" s="263">
        <f t="shared" si="1"/>
        <v>321000.0</v>
      </c>
    </row>
    <row r="23" spans="8:8">
      <c r="A23" s="260"/>
      <c r="B23" s="264"/>
      <c r="C23" s="265"/>
      <c r="D23" s="265"/>
      <c r="E23" s="265"/>
      <c r="H23" s="266"/>
    </row>
    <row r="24" spans="8:8">
      <c r="A24" s="261" t="s">
        <v>25</v>
      </c>
      <c r="B24" s="264"/>
      <c r="C24" s="265"/>
      <c r="D24" s="265"/>
      <c r="E24" s="265"/>
    </row>
    <row r="25" spans="8:8">
      <c r="A25" s="267" t="s">
        <v>468</v>
      </c>
      <c r="B25" s="268" t="s">
        <v>293</v>
      </c>
      <c r="C25" s="265">
        <f>20*2000</f>
        <v>40000.0</v>
      </c>
      <c r="D25" s="265"/>
      <c r="E25" s="265"/>
    </row>
    <row r="26" spans="8:8" ht="25.5">
      <c r="A26" s="269" t="s">
        <v>318</v>
      </c>
      <c r="B26" s="264" t="s">
        <v>293</v>
      </c>
      <c r="C26" s="265">
        <f>30*1200</f>
        <v>36000.0</v>
      </c>
      <c r="D26" s="265"/>
      <c r="E26" s="265">
        <f>C26/10</f>
        <v>3600.0</v>
      </c>
    </row>
    <row r="27" spans="8:8">
      <c r="A27" s="267" t="s">
        <v>319</v>
      </c>
      <c r="B27" s="264" t="s">
        <v>293</v>
      </c>
      <c r="C27" s="265">
        <v>8000.0</v>
      </c>
      <c r="D27" s="265"/>
      <c r="E27" s="265"/>
      <c r="H27" s="266"/>
    </row>
    <row r="28" spans="8:8">
      <c r="A28" s="267" t="s">
        <v>392</v>
      </c>
      <c r="B28" s="268" t="s">
        <v>293</v>
      </c>
      <c r="C28" s="265">
        <v>8000.0</v>
      </c>
      <c r="D28" s="265">
        <v>800.0</v>
      </c>
      <c r="E28" s="265">
        <f>800*2</f>
        <v>1600.0</v>
      </c>
    </row>
    <row r="29" spans="8:8">
      <c r="A29" s="270" t="s">
        <v>294</v>
      </c>
      <c r="B29" s="264" t="s">
        <v>293</v>
      </c>
      <c r="C29" s="265">
        <v>1000.0</v>
      </c>
      <c r="D29" s="265">
        <f>C29/10</f>
        <v>100.0</v>
      </c>
      <c r="E29" s="265">
        <f>C29/10*2</f>
        <v>200.0</v>
      </c>
    </row>
    <row r="30" spans="8:8">
      <c r="A30" s="270" t="s">
        <v>295</v>
      </c>
      <c r="B30" s="268" t="s">
        <v>292</v>
      </c>
      <c r="C30" s="265">
        <v>4000.0</v>
      </c>
      <c r="D30" s="265">
        <v>4000.0</v>
      </c>
      <c r="E30" s="265">
        <v>4000.0</v>
      </c>
    </row>
    <row r="31" spans="8:8">
      <c r="A31" s="271" t="s">
        <v>476</v>
      </c>
      <c r="B31" s="268" t="s">
        <v>292</v>
      </c>
      <c r="C31" s="265">
        <f>4*16000</f>
        <v>64000.0</v>
      </c>
      <c r="D31" s="265">
        <v>32000.0</v>
      </c>
      <c r="E31" s="265">
        <v>32000.0</v>
      </c>
    </row>
    <row r="32" spans="8:8" ht="25.5">
      <c r="A32" s="272" t="s">
        <v>488</v>
      </c>
      <c r="B32" s="268" t="s">
        <v>292</v>
      </c>
      <c r="C32" s="265">
        <v>27200.0</v>
      </c>
      <c r="D32" s="265">
        <v>27200.0</v>
      </c>
      <c r="E32" s="265">
        <v>27200.0</v>
      </c>
    </row>
    <row r="33" spans="8:8">
      <c r="A33" s="270" t="s">
        <v>296</v>
      </c>
      <c r="B33" s="268" t="s">
        <v>292</v>
      </c>
      <c r="C33" s="265">
        <v>1000.0</v>
      </c>
      <c r="D33" s="265">
        <v>3000.0</v>
      </c>
      <c r="E33" s="265">
        <v>3000.0</v>
      </c>
    </row>
    <row r="34" spans="8:8">
      <c r="A34" s="267" t="s">
        <v>297</v>
      </c>
      <c r="B34" s="268" t="s">
        <v>292</v>
      </c>
      <c r="C34" s="265">
        <f>SUM(C25:C33)</f>
        <v>189200.0</v>
      </c>
      <c r="D34" s="265">
        <f t="shared" si="2" ref="D34:E34">SUM(D25:D33)</f>
        <v>67100.0</v>
      </c>
      <c r="E34" s="265">
        <f t="shared" si="2"/>
        <v>71600.0</v>
      </c>
    </row>
    <row r="35" spans="8:8">
      <c r="A35" s="270"/>
      <c r="B35" s="264"/>
      <c r="C35" s="265"/>
      <c r="D35" s="265"/>
      <c r="E35" s="265"/>
    </row>
    <row r="36" spans="8:8">
      <c r="A36" s="273" t="s">
        <v>290</v>
      </c>
      <c r="B36" s="264"/>
      <c r="C36" s="265"/>
      <c r="D36" s="265"/>
      <c r="E36" s="265"/>
    </row>
    <row r="37" spans="8:8" ht="25.5">
      <c r="A37" s="269" t="s">
        <v>298</v>
      </c>
      <c r="B37" s="268" t="s">
        <v>299</v>
      </c>
      <c r="C37" s="265">
        <v>17000.0</v>
      </c>
      <c r="D37" s="265"/>
      <c r="E37" s="265"/>
    </row>
    <row r="38" spans="8:8">
      <c r="A38" s="267" t="s">
        <v>300</v>
      </c>
      <c r="B38" s="268" t="s">
        <v>301</v>
      </c>
      <c r="C38" s="265">
        <v>2000.0</v>
      </c>
      <c r="D38" s="265">
        <v>2000.0</v>
      </c>
      <c r="E38" s="265">
        <v>2000.0</v>
      </c>
    </row>
    <row r="39" spans="8:8">
      <c r="A39" s="270" t="s">
        <v>290</v>
      </c>
      <c r="B39" s="268" t="s">
        <v>301</v>
      </c>
      <c r="C39" s="265">
        <v>2000.0</v>
      </c>
      <c r="D39" s="265">
        <v>2000.0</v>
      </c>
      <c r="E39" s="265">
        <v>2000.0</v>
      </c>
    </row>
    <row r="40" spans="8:8">
      <c r="A40" s="267" t="s">
        <v>302</v>
      </c>
      <c r="B40" s="268" t="s">
        <v>301</v>
      </c>
      <c r="C40" s="265">
        <f>SUM(C37:C39)</f>
        <v>21000.0</v>
      </c>
      <c r="D40" s="265">
        <f t="shared" si="3" ref="D40:E40">SUM(D37:D39)</f>
        <v>4000.0</v>
      </c>
      <c r="E40" s="265">
        <f t="shared" si="3"/>
        <v>4000.0</v>
      </c>
    </row>
    <row r="41" spans="8:8">
      <c r="A41" s="274" t="s">
        <v>13</v>
      </c>
      <c r="B41" s="275" t="s">
        <v>301</v>
      </c>
      <c r="C41" s="276">
        <f>C40+C34+C22</f>
        <v>604700.0</v>
      </c>
      <c r="D41" s="276">
        <f t="shared" si="4" ref="D41:E41">D40+D34+D22</f>
        <v>414600.0</v>
      </c>
      <c r="E41" s="276">
        <f t="shared" si="4"/>
        <v>396600.0</v>
      </c>
    </row>
    <row r="42" spans="8:8">
      <c r="A42" s="260"/>
      <c r="B42" s="264"/>
      <c r="C42" s="265"/>
      <c r="D42" s="265"/>
      <c r="E42" s="265"/>
    </row>
    <row r="43" spans="8:8">
      <c r="A43" s="277" t="s">
        <v>18</v>
      </c>
      <c r="B43" s="264"/>
      <c r="C43" s="265"/>
      <c r="D43" s="265"/>
      <c r="E43" s="265"/>
    </row>
    <row r="44" spans="8:8">
      <c r="A44" s="259" t="s">
        <v>303</v>
      </c>
      <c r="B44" s="264"/>
      <c r="C44" s="265">
        <v>20000.0</v>
      </c>
      <c r="D44" s="265">
        <v>35000.0</v>
      </c>
      <c r="E44" s="265">
        <v>30000.0</v>
      </c>
    </row>
    <row r="45" spans="8:8">
      <c r="A45" s="259" t="s">
        <v>304</v>
      </c>
      <c r="B45" s="264" t="s">
        <v>305</v>
      </c>
      <c r="C45" s="265">
        <v>180000.0</v>
      </c>
      <c r="D45" s="265">
        <v>450000.0</v>
      </c>
      <c r="E45" s="265">
        <v>375000.0</v>
      </c>
    </row>
    <row r="46" spans="8:8" ht="25.5">
      <c r="A46" s="278" t="s">
        <v>501</v>
      </c>
      <c r="B46" s="264" t="s">
        <v>306</v>
      </c>
      <c r="C46" s="265">
        <v>11885.42</v>
      </c>
      <c r="D46" s="265">
        <v>11885.42</v>
      </c>
      <c r="E46" s="265">
        <v>11885.42</v>
      </c>
    </row>
    <row r="47" spans="8:8">
      <c r="A47" s="279" t="s">
        <v>307</v>
      </c>
      <c r="B47" s="280" t="s">
        <v>292</v>
      </c>
      <c r="C47" s="281">
        <f>C46*180</f>
        <v>2139375.6</v>
      </c>
      <c r="D47" s="281">
        <f>D46*450</f>
        <v>5348439.0</v>
      </c>
      <c r="E47" s="281">
        <f>E46*375</f>
        <v>4457032.5</v>
      </c>
    </row>
    <row r="48" spans="8:8" s="282" customFormat="1">
      <c r="A48" s="274" t="s">
        <v>308</v>
      </c>
      <c r="B48" s="275" t="s">
        <v>292</v>
      </c>
      <c r="C48" s="276">
        <f>C47-C41</f>
        <v>1534675.6</v>
      </c>
      <c r="D48" s="276">
        <f t="shared" si="5" ref="D48:E48">D47-D41</f>
        <v>4933839.0</v>
      </c>
      <c r="E48" s="276">
        <f t="shared" si="5"/>
        <v>4060432.5</v>
      </c>
      <c r="F48" s="283"/>
    </row>
    <row r="49" spans="8:8">
      <c r="A49" s="284" t="s">
        <v>309</v>
      </c>
      <c r="B49" s="285" t="s">
        <v>455</v>
      </c>
      <c r="C49" s="171">
        <f>C41/180</f>
        <v>3359.4444444444443</v>
      </c>
      <c r="D49" s="171">
        <f>D41/450</f>
        <v>921.3333333333334</v>
      </c>
      <c r="E49" s="171">
        <f>E41/375</f>
        <v>1057.6</v>
      </c>
    </row>
    <row r="50" spans="8:8">
      <c r="B50" s="286"/>
      <c r="C50" s="287"/>
      <c r="D50" s="287"/>
      <c r="E50" s="288"/>
    </row>
    <row r="51" spans="8:8">
      <c r="B51" s="289"/>
      <c r="C51" s="288"/>
      <c r="D51" s="288"/>
      <c r="E51" s="288"/>
    </row>
    <row r="52" spans="8:8">
      <c r="C52" s="4"/>
      <c r="D52" s="4"/>
      <c r="E52" s="4"/>
    </row>
    <row r="53" spans="8:8">
      <c r="C53" s="4"/>
      <c r="D53" s="4"/>
      <c r="E53" s="4"/>
    </row>
    <row r="54" spans="8:8">
      <c r="A54" s="282" t="s">
        <v>310</v>
      </c>
    </row>
    <row r="55" spans="8:8">
      <c r="A55" s="282" t="s">
        <v>311</v>
      </c>
    </row>
    <row r="58" spans="8:8">
      <c r="A58" s="282" t="s">
        <v>97</v>
      </c>
    </row>
    <row r="59" spans="8:8">
      <c r="A59" s="266" t="s">
        <v>312</v>
      </c>
    </row>
    <row r="60" spans="8:8">
      <c r="A60" s="266" t="s">
        <v>313</v>
      </c>
    </row>
    <row r="61" spans="8:8">
      <c r="A61" s="66" t="s">
        <v>407</v>
      </c>
      <c r="B61" s="61"/>
      <c r="C61" s="2"/>
      <c r="D61" s="2"/>
      <c r="E61" s="2"/>
      <c r="F61" s="2"/>
      <c r="G61" s="61"/>
      <c r="H61" s="2"/>
    </row>
    <row r="62" spans="8:8">
      <c r="A62" s="266" t="s">
        <v>429</v>
      </c>
    </row>
    <row r="63" spans="8:8">
      <c r="A63" s="266" t="s">
        <v>314</v>
      </c>
    </row>
    <row r="64" spans="8:8">
      <c r="A64" s="266" t="s">
        <v>430</v>
      </c>
    </row>
    <row r="65" spans="8:8">
      <c r="A65" s="266" t="s">
        <v>431</v>
      </c>
    </row>
    <row r="66" spans="8:8">
      <c r="A66" t="s">
        <v>315</v>
      </c>
    </row>
    <row r="67" spans="8:8">
      <c r="A67" s="266" t="s">
        <v>432</v>
      </c>
    </row>
    <row r="68" spans="8:8">
      <c r="A68" s="266" t="s">
        <v>433</v>
      </c>
    </row>
    <row r="69" spans="8:8">
      <c r="A69" s="266" t="s">
        <v>434</v>
      </c>
    </row>
    <row r="70" spans="8:8">
      <c r="A70" s="266" t="s">
        <v>316</v>
      </c>
    </row>
    <row r="71" spans="8:8">
      <c r="A71" s="266" t="s">
        <v>435</v>
      </c>
    </row>
    <row r="72" spans="8:8" s="5" customFormat="1">
      <c r="A72" s="5" t="s">
        <v>436</v>
      </c>
      <c r="B72" s="4"/>
      <c r="C72" s="4"/>
      <c r="D72" s="4"/>
      <c r="E72" s="4"/>
      <c r="F72" s="283"/>
      <c r="G72" s="4"/>
      <c r="H72" s="4"/>
      <c r="I72" s="4"/>
      <c r="J72" s="4"/>
      <c r="K72" s="4"/>
      <c r="L72" s="4"/>
      <c r="M72" s="4"/>
      <c r="N72" s="4"/>
      <c r="O72" s="4"/>
      <c r="P72" s="4"/>
      <c r="R72" s="181"/>
      <c r="S72" s="181"/>
      <c r="T72" s="181"/>
      <c r="U72" s="181"/>
      <c r="V72" s="181"/>
    </row>
    <row r="74" spans="8:8">
      <c r="A74" s="266"/>
    </row>
  </sheetData>
  <mergeCells count="1">
    <mergeCell ref="A1:E1"/>
  </mergeCells>
  <pageMargins left="0.7" right="0.7" top="0.75" bottom="0.75" header="0.3" footer="0.3"/>
  <pageSetup paperSize="9" scale="85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K57"/>
  <sheetViews>
    <sheetView workbookViewId="0">
      <selection activeCell="A1" sqref="A1:O1"/>
    </sheetView>
  </sheetViews>
  <sheetFormatPr defaultRowHeight="12.0" defaultColWidth="9"/>
  <cols>
    <col min="1" max="1" customWidth="1" width="27.285156" style="66"/>
    <col min="2" max="2" customWidth="1" width="11.0" style="66"/>
    <col min="3" max="3" customWidth="1" width="10.7109375" style="76"/>
    <col min="4" max="4" customWidth="1" width="11.285156" style="76"/>
    <col min="5" max="5" customWidth="1" width="12.140625" style="76"/>
    <col min="6" max="6" customWidth="1" width="11.855469" style="76"/>
    <col min="7" max="7" customWidth="1" width="11.425781" style="76"/>
    <col min="8" max="8" customWidth="1" width="10.7109375" style="181"/>
    <col min="9" max="9" customWidth="1" width="11.0" style="181"/>
    <col min="10" max="10" customWidth="1" width="10.7109375" style="181"/>
    <col min="11" max="11" customWidth="1" width="13.140625" style="181"/>
    <col min="12" max="13" customWidth="1" width="13.7109375" style="181"/>
    <col min="14" max="14" customWidth="1" width="12.285156" style="181"/>
    <col min="15" max="15" customWidth="1" width="14.140625" style="181"/>
    <col min="16" max="16" customWidth="1" width="8.855469" style="68"/>
    <col min="17" max="26" customWidth="0" width="9.285156" style="76"/>
    <col min="27" max="16384" customWidth="0" width="9.285156" style="66"/>
  </cols>
  <sheetData>
    <row r="1" spans="8:8" ht="21.0" customHeight="1">
      <c r="A1" s="290" t="s">
        <v>525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2"/>
    </row>
    <row r="2" spans="8:8">
      <c r="A2" s="95" t="s">
        <v>221</v>
      </c>
      <c r="B2" s="23" t="s">
        <v>2</v>
      </c>
      <c r="C2" s="147" t="s">
        <v>70</v>
      </c>
      <c r="D2" s="147" t="s">
        <v>71</v>
      </c>
      <c r="E2" s="147" t="s">
        <v>72</v>
      </c>
      <c r="F2" s="147" t="s">
        <v>66</v>
      </c>
      <c r="G2" s="147" t="s">
        <v>73</v>
      </c>
      <c r="H2" s="293" t="s">
        <v>74</v>
      </c>
      <c r="I2" s="293" t="s">
        <v>75</v>
      </c>
      <c r="J2" s="293" t="s">
        <v>76</v>
      </c>
      <c r="K2" s="293" t="s">
        <v>77</v>
      </c>
      <c r="L2" s="293" t="s">
        <v>269</v>
      </c>
      <c r="M2" s="293" t="s">
        <v>223</v>
      </c>
      <c r="N2" s="293" t="s">
        <v>224</v>
      </c>
      <c r="O2" s="293" t="s">
        <v>320</v>
      </c>
    </row>
    <row r="3" spans="8:8" s="36" ht="12.0" customFormat="1">
      <c r="A3" s="95" t="s">
        <v>227</v>
      </c>
      <c r="B3" s="95"/>
      <c r="C3" s="148"/>
      <c r="D3" s="148"/>
      <c r="E3" s="148"/>
      <c r="F3" s="148"/>
      <c r="G3" s="148"/>
      <c r="H3" s="177"/>
      <c r="I3" s="177"/>
      <c r="J3" s="177"/>
      <c r="K3" s="177"/>
      <c r="L3" s="177"/>
      <c r="M3" s="177"/>
      <c r="N3" s="177"/>
      <c r="O3" s="177"/>
      <c r="P3" s="69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8:8" ht="24.0">
      <c r="A4" s="99" t="s">
        <v>3</v>
      </c>
      <c r="B4" s="23" t="s">
        <v>204</v>
      </c>
      <c r="C4" s="24">
        <v>20.0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8:8">
      <c r="A5" s="23" t="s">
        <v>182</v>
      </c>
      <c r="B5" s="23" t="s">
        <v>204</v>
      </c>
      <c r="C5" s="24">
        <v>15.0</v>
      </c>
      <c r="D5" s="24">
        <v>6.0</v>
      </c>
      <c r="E5" s="24">
        <v>6.0</v>
      </c>
      <c r="F5" s="24">
        <v>6.0</v>
      </c>
      <c r="G5" s="24">
        <v>6.0</v>
      </c>
      <c r="H5" s="24">
        <v>6.0</v>
      </c>
      <c r="I5" s="24">
        <v>6.0</v>
      </c>
      <c r="J5" s="24">
        <v>6.0</v>
      </c>
      <c r="K5" s="24">
        <v>6.0</v>
      </c>
      <c r="L5" s="24">
        <v>6.0</v>
      </c>
      <c r="M5" s="24">
        <v>6.0</v>
      </c>
      <c r="N5" s="24">
        <v>6.0</v>
      </c>
      <c r="O5" s="24">
        <v>6.0</v>
      </c>
    </row>
    <row r="6" spans="8:8">
      <c r="A6" s="23" t="s">
        <v>321</v>
      </c>
      <c r="B6" s="23" t="s">
        <v>204</v>
      </c>
      <c r="C6" s="24">
        <v>23.0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8:8">
      <c r="A7" s="23" t="s">
        <v>322</v>
      </c>
      <c r="B7" s="23"/>
      <c r="C7" s="24">
        <v>8.0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AJ7" s="294"/>
    </row>
    <row r="8" spans="8:8" ht="24.0">
      <c r="A8" s="99" t="s">
        <v>323</v>
      </c>
      <c r="B8" s="23" t="s">
        <v>204</v>
      </c>
      <c r="C8" s="24">
        <v>12.0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X8" s="295"/>
      <c r="AE8" s="36"/>
    </row>
    <row r="9" spans="8:8">
      <c r="A9" s="23" t="s">
        <v>42</v>
      </c>
      <c r="B9" s="23" t="s">
        <v>204</v>
      </c>
      <c r="C9" s="24">
        <v>4.0</v>
      </c>
      <c r="D9" s="24">
        <v>1.0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AE9" s="36"/>
    </row>
    <row r="10" spans="8:8">
      <c r="A10" s="99" t="s">
        <v>324</v>
      </c>
      <c r="B10" s="23" t="s">
        <v>204</v>
      </c>
      <c r="C10" s="24">
        <v>10.0</v>
      </c>
      <c r="D10" s="24">
        <v>12.0</v>
      </c>
      <c r="E10" s="24">
        <v>12.0</v>
      </c>
      <c r="F10" s="24">
        <v>12.0</v>
      </c>
      <c r="G10" s="24">
        <v>12.0</v>
      </c>
      <c r="H10" s="24">
        <v>12.0</v>
      </c>
      <c r="I10" s="24">
        <v>12.0</v>
      </c>
      <c r="J10" s="24">
        <v>12.0</v>
      </c>
      <c r="K10" s="24">
        <v>12.0</v>
      </c>
      <c r="L10" s="24">
        <v>12.0</v>
      </c>
      <c r="M10" s="24">
        <v>12.0</v>
      </c>
      <c r="N10" s="24">
        <v>12.0</v>
      </c>
      <c r="O10" s="24">
        <v>12.0</v>
      </c>
      <c r="AE10" s="36"/>
    </row>
    <row r="11" spans="8:8">
      <c r="A11" s="23" t="s">
        <v>11</v>
      </c>
      <c r="B11" s="23" t="s">
        <v>204</v>
      </c>
      <c r="C11" s="24">
        <v>2.0</v>
      </c>
      <c r="D11" s="24">
        <v>4.0</v>
      </c>
      <c r="E11" s="24">
        <v>4.0</v>
      </c>
      <c r="F11" s="24">
        <v>4.0</v>
      </c>
      <c r="G11" s="24">
        <v>4.0</v>
      </c>
      <c r="H11" s="24">
        <v>4.0</v>
      </c>
      <c r="I11" s="24">
        <v>4.0</v>
      </c>
      <c r="J11" s="24">
        <v>4.0</v>
      </c>
      <c r="K11" s="24">
        <v>4.0</v>
      </c>
      <c r="L11" s="24">
        <v>4.0</v>
      </c>
      <c r="M11" s="24">
        <v>4.0</v>
      </c>
      <c r="N11" s="24">
        <v>4.0</v>
      </c>
      <c r="O11" s="24">
        <v>4.0</v>
      </c>
    </row>
    <row r="12" spans="8:8">
      <c r="A12" s="23" t="s">
        <v>21</v>
      </c>
      <c r="B12" s="23" t="s">
        <v>204</v>
      </c>
      <c r="C12" s="24">
        <v>2.0</v>
      </c>
      <c r="D12" s="24">
        <v>5.0</v>
      </c>
      <c r="E12" s="24">
        <v>8.0</v>
      </c>
      <c r="F12" s="24">
        <v>8.0</v>
      </c>
      <c r="G12" s="24">
        <v>8.0</v>
      </c>
      <c r="H12" s="24">
        <v>8.0</v>
      </c>
      <c r="I12" s="24">
        <v>8.0</v>
      </c>
      <c r="J12" s="24">
        <v>8.0</v>
      </c>
      <c r="K12" s="24">
        <v>8.0</v>
      </c>
      <c r="L12" s="24">
        <v>8.0</v>
      </c>
      <c r="M12" s="24">
        <v>8.0</v>
      </c>
      <c r="N12" s="24">
        <v>8.0</v>
      </c>
      <c r="O12" s="24">
        <v>8.0</v>
      </c>
    </row>
    <row r="13" spans="8:8">
      <c r="A13" s="23" t="s">
        <v>325</v>
      </c>
      <c r="B13" s="23" t="s">
        <v>204</v>
      </c>
      <c r="C13" s="24"/>
      <c r="D13" s="24"/>
      <c r="E13" s="24"/>
      <c r="F13" s="24"/>
      <c r="G13" s="24"/>
      <c r="H13" s="24">
        <v>5.0</v>
      </c>
      <c r="I13" s="24">
        <v>11.0</v>
      </c>
      <c r="J13" s="24">
        <v>15.0</v>
      </c>
      <c r="K13" s="24">
        <v>19.0</v>
      </c>
      <c r="L13" s="24">
        <v>31.0</v>
      </c>
      <c r="M13" s="24">
        <v>31.0</v>
      </c>
      <c r="N13" s="24">
        <v>26.0</v>
      </c>
      <c r="O13" s="24">
        <v>21.0</v>
      </c>
      <c r="AJ13" s="294"/>
    </row>
    <row r="14" spans="8:8">
      <c r="A14" s="23" t="s">
        <v>326</v>
      </c>
      <c r="B14" s="23" t="s">
        <v>204</v>
      </c>
      <c r="C14" s="24"/>
      <c r="D14" s="24"/>
      <c r="E14" s="24"/>
      <c r="F14" s="24"/>
      <c r="G14" s="24"/>
      <c r="H14" s="24">
        <v>8.0</v>
      </c>
      <c r="I14" s="24">
        <v>36.0</v>
      </c>
      <c r="J14" s="24">
        <v>49.0</v>
      </c>
      <c r="K14" s="24">
        <v>90.0</v>
      </c>
      <c r="L14" s="24">
        <v>160.0</v>
      </c>
      <c r="M14" s="24">
        <v>160.0</v>
      </c>
      <c r="N14" s="24">
        <v>130.0</v>
      </c>
      <c r="O14" s="24">
        <v>80.0</v>
      </c>
    </row>
    <row r="15" spans="8:8">
      <c r="A15" s="23" t="s">
        <v>5</v>
      </c>
      <c r="B15" s="23" t="s">
        <v>204</v>
      </c>
      <c r="C15" s="24">
        <v>3.0</v>
      </c>
      <c r="D15" s="24">
        <v>3.0</v>
      </c>
      <c r="E15" s="24">
        <v>3.0</v>
      </c>
      <c r="F15" s="24">
        <v>3.0</v>
      </c>
      <c r="G15" s="24">
        <v>3.0</v>
      </c>
      <c r="H15" s="24">
        <v>3.0</v>
      </c>
      <c r="I15" s="24">
        <v>3.0</v>
      </c>
      <c r="J15" s="24">
        <v>3.0</v>
      </c>
      <c r="K15" s="24">
        <v>3.0</v>
      </c>
      <c r="L15" s="24">
        <v>3.0</v>
      </c>
      <c r="M15" s="24">
        <v>3.0</v>
      </c>
      <c r="N15" s="24">
        <v>3.0</v>
      </c>
      <c r="O15" s="24">
        <v>3.0</v>
      </c>
    </row>
    <row r="16" spans="8:8">
      <c r="A16" s="23" t="s">
        <v>34</v>
      </c>
      <c r="B16" s="23" t="s">
        <v>204</v>
      </c>
      <c r="C16" s="24">
        <f>SUM(C4:C15)</f>
        <v>99.0</v>
      </c>
      <c r="D16" s="24">
        <f t="shared" si="0" ref="D16:O16">SUM(D4:D15)</f>
        <v>31.0</v>
      </c>
      <c r="E16" s="24">
        <f t="shared" si="0"/>
        <v>33.0</v>
      </c>
      <c r="F16" s="24">
        <f t="shared" si="0"/>
        <v>33.0</v>
      </c>
      <c r="G16" s="24">
        <f t="shared" si="0"/>
        <v>33.0</v>
      </c>
      <c r="H16" s="24">
        <f t="shared" si="0"/>
        <v>46.0</v>
      </c>
      <c r="I16" s="24">
        <f t="shared" si="0"/>
        <v>80.0</v>
      </c>
      <c r="J16" s="24">
        <f t="shared" si="0"/>
        <v>97.0</v>
      </c>
      <c r="K16" s="24">
        <f t="shared" si="0"/>
        <v>142.0</v>
      </c>
      <c r="L16" s="24">
        <f t="shared" si="0"/>
        <v>224.0</v>
      </c>
      <c r="M16" s="24">
        <f t="shared" si="0"/>
        <v>224.0</v>
      </c>
      <c r="N16" s="24">
        <f t="shared" si="0"/>
        <v>189.0</v>
      </c>
      <c r="O16" s="24">
        <f t="shared" si="0"/>
        <v>134.0</v>
      </c>
    </row>
    <row r="17" spans="8:8">
      <c r="A17" s="23" t="s">
        <v>35</v>
      </c>
      <c r="B17" s="23" t="s">
        <v>208</v>
      </c>
      <c r="C17" s="24">
        <f>C16*2.5</f>
        <v>247.5</v>
      </c>
      <c r="D17" s="24">
        <f t="shared" si="1" ref="D17:O17">D16*2.5</f>
        <v>77.5</v>
      </c>
      <c r="E17" s="24">
        <f t="shared" si="1"/>
        <v>82.5</v>
      </c>
      <c r="F17" s="24">
        <f t="shared" si="1"/>
        <v>82.5</v>
      </c>
      <c r="G17" s="24">
        <f t="shared" si="1"/>
        <v>82.5</v>
      </c>
      <c r="H17" s="24">
        <f t="shared" si="1"/>
        <v>115.0</v>
      </c>
      <c r="I17" s="24">
        <f t="shared" si="1"/>
        <v>200.0</v>
      </c>
      <c r="J17" s="24">
        <f t="shared" si="1"/>
        <v>242.5</v>
      </c>
      <c r="K17" s="24">
        <f t="shared" si="1"/>
        <v>355.0</v>
      </c>
      <c r="L17" s="24">
        <f t="shared" si="1"/>
        <v>560.0</v>
      </c>
      <c r="M17" s="24">
        <f t="shared" si="1"/>
        <v>560.0</v>
      </c>
      <c r="N17" s="24">
        <f t="shared" si="1"/>
        <v>472.5</v>
      </c>
      <c r="O17" s="24">
        <f t="shared" si="1"/>
        <v>335.0</v>
      </c>
    </row>
    <row r="18" spans="8:8">
      <c r="A18" s="23" t="s">
        <v>252</v>
      </c>
      <c r="B18" s="23" t="s">
        <v>36</v>
      </c>
      <c r="C18" s="153">
        <f>C17*1500</f>
        <v>371250.0</v>
      </c>
      <c r="D18" s="153">
        <f t="shared" si="2" ref="D18:O18">D17*1500</f>
        <v>116250.0</v>
      </c>
      <c r="E18" s="153">
        <f t="shared" si="2"/>
        <v>123750.0</v>
      </c>
      <c r="F18" s="153">
        <f t="shared" si="2"/>
        <v>123750.0</v>
      </c>
      <c r="G18" s="153">
        <f t="shared" si="2"/>
        <v>123750.0</v>
      </c>
      <c r="H18" s="153">
        <f t="shared" si="2"/>
        <v>172500.0</v>
      </c>
      <c r="I18" s="153">
        <f t="shared" si="2"/>
        <v>300000.0</v>
      </c>
      <c r="J18" s="153">
        <f t="shared" si="2"/>
        <v>363750.0</v>
      </c>
      <c r="K18" s="153">
        <f t="shared" si="2"/>
        <v>532500.0</v>
      </c>
      <c r="L18" s="153">
        <f t="shared" si="2"/>
        <v>840000.0</v>
      </c>
      <c r="M18" s="153">
        <f t="shared" si="2"/>
        <v>840000.0</v>
      </c>
      <c r="N18" s="153">
        <f t="shared" si="2"/>
        <v>708750.0</v>
      </c>
      <c r="O18" s="153">
        <f t="shared" si="2"/>
        <v>502500.0</v>
      </c>
    </row>
    <row r="19" spans="8:8" ht="24.0">
      <c r="A19" s="99" t="s">
        <v>327</v>
      </c>
      <c r="B19" s="23" t="s">
        <v>36</v>
      </c>
      <c r="C19" s="153"/>
      <c r="D19" s="153"/>
      <c r="E19" s="153"/>
      <c r="F19" s="153"/>
      <c r="G19" s="153"/>
      <c r="H19" s="296">
        <f>H33*100</f>
        <v>30000.0</v>
      </c>
      <c r="I19" s="296">
        <f t="shared" si="3" ref="I19:O19">I33*100</f>
        <v>80000.0</v>
      </c>
      <c r="J19" s="296">
        <f t="shared" si="3"/>
        <v>102000.0</v>
      </c>
      <c r="K19" s="296">
        <f t="shared" si="3"/>
        <v>136000.0</v>
      </c>
      <c r="L19" s="296">
        <f t="shared" si="3"/>
        <v>153000.0</v>
      </c>
      <c r="M19" s="296">
        <f t="shared" si="3"/>
        <v>153000.0</v>
      </c>
      <c r="N19" s="296">
        <f t="shared" si="3"/>
        <v>127500.0</v>
      </c>
      <c r="O19" s="296">
        <f t="shared" si="3"/>
        <v>102000.0</v>
      </c>
    </row>
    <row r="20" spans="8:8">
      <c r="A20" s="95" t="s">
        <v>338</v>
      </c>
      <c r="B20" s="95" t="s">
        <v>36</v>
      </c>
      <c r="C20" s="43">
        <f>C19+C18</f>
        <v>371250.0</v>
      </c>
      <c r="D20" s="43">
        <f t="shared" si="4" ref="D20:O20">D19+D18</f>
        <v>116250.0</v>
      </c>
      <c r="E20" s="43">
        <f t="shared" si="4"/>
        <v>123750.0</v>
      </c>
      <c r="F20" s="43">
        <f t="shared" si="4"/>
        <v>123750.0</v>
      </c>
      <c r="G20" s="43">
        <f t="shared" si="4"/>
        <v>123750.0</v>
      </c>
      <c r="H20" s="297">
        <f t="shared" si="4"/>
        <v>202500.0</v>
      </c>
      <c r="I20" s="297">
        <f t="shared" si="4"/>
        <v>380000.0</v>
      </c>
      <c r="J20" s="297">
        <f t="shared" si="4"/>
        <v>465750.0</v>
      </c>
      <c r="K20" s="297">
        <f t="shared" si="4"/>
        <v>668500.0</v>
      </c>
      <c r="L20" s="297">
        <f t="shared" si="4"/>
        <v>993000.0</v>
      </c>
      <c r="M20" s="297">
        <f t="shared" si="4"/>
        <v>993000.0</v>
      </c>
      <c r="N20" s="297">
        <f t="shared" si="4"/>
        <v>836250.0</v>
      </c>
      <c r="O20" s="297">
        <f t="shared" si="4"/>
        <v>604500.0</v>
      </c>
      <c r="S20" s="96"/>
      <c r="T20" s="96"/>
      <c r="U20" s="96"/>
      <c r="V20" s="96"/>
      <c r="W20" s="96"/>
      <c r="X20" s="96"/>
      <c r="Y20" s="96"/>
      <c r="Z20" s="96"/>
    </row>
    <row r="21" spans="8:8">
      <c r="A21" s="23"/>
      <c r="B21" s="23"/>
      <c r="C21" s="153"/>
      <c r="D21" s="153"/>
      <c r="E21" s="153"/>
      <c r="F21" s="153"/>
      <c r="G21" s="153"/>
      <c r="H21" s="296"/>
      <c r="I21" s="296"/>
      <c r="J21" s="296"/>
      <c r="K21" s="296"/>
      <c r="L21" s="296"/>
      <c r="M21" s="296"/>
      <c r="N21" s="296"/>
      <c r="O21" s="296"/>
    </row>
    <row r="22" spans="8:8">
      <c r="A22" s="95" t="s">
        <v>25</v>
      </c>
      <c r="B22" s="95"/>
      <c r="C22" s="153"/>
      <c r="D22" s="153"/>
      <c r="E22" s="153"/>
      <c r="F22" s="153"/>
      <c r="G22" s="153"/>
      <c r="H22" s="296"/>
      <c r="I22" s="296"/>
      <c r="J22" s="296"/>
      <c r="K22" s="296"/>
      <c r="L22" s="296"/>
      <c r="M22" s="296"/>
      <c r="N22" s="296"/>
      <c r="O22" s="296"/>
    </row>
    <row r="23" spans="8:8">
      <c r="A23" s="23" t="s">
        <v>44</v>
      </c>
      <c r="B23" s="23" t="s">
        <v>36</v>
      </c>
      <c r="C23" s="153">
        <v>4000.0</v>
      </c>
      <c r="D23" s="153"/>
      <c r="E23" s="153"/>
      <c r="F23" s="153"/>
      <c r="G23" s="153"/>
      <c r="H23" s="296"/>
      <c r="I23" s="296"/>
      <c r="J23" s="296"/>
      <c r="K23" s="296"/>
      <c r="L23" s="296"/>
      <c r="M23" s="296"/>
      <c r="N23" s="296"/>
      <c r="O23" s="296"/>
    </row>
    <row r="24" spans="8:8" ht="24.0">
      <c r="A24" s="35" t="s">
        <v>477</v>
      </c>
      <c r="B24" s="23" t="s">
        <v>36</v>
      </c>
      <c r="C24" s="153">
        <v>48000.0</v>
      </c>
      <c r="D24" s="153"/>
      <c r="E24" s="153"/>
      <c r="F24" s="153"/>
      <c r="G24" s="153"/>
      <c r="H24" s="296"/>
      <c r="I24" s="296"/>
      <c r="J24" s="296"/>
      <c r="K24" s="296"/>
      <c r="L24" s="296"/>
      <c r="M24" s="296"/>
      <c r="N24" s="296"/>
      <c r="O24" s="296"/>
    </row>
    <row r="25" spans="8:8" ht="24.0">
      <c r="A25" s="35" t="s">
        <v>515</v>
      </c>
      <c r="B25" s="31" t="s">
        <v>36</v>
      </c>
      <c r="C25" s="32">
        <f>1600*30</f>
        <v>48000.0</v>
      </c>
      <c r="D25" s="153">
        <f>C25/10</f>
        <v>4800.0</v>
      </c>
      <c r="E25" s="153"/>
      <c r="F25" s="153"/>
      <c r="G25" s="153"/>
      <c r="H25" s="296"/>
      <c r="I25" s="296"/>
      <c r="J25" s="296"/>
      <c r="K25" s="296"/>
      <c r="L25" s="296"/>
      <c r="M25" s="296"/>
      <c r="N25" s="296"/>
      <c r="O25" s="296"/>
    </row>
    <row r="26" spans="8:8">
      <c r="A26" s="23" t="s">
        <v>328</v>
      </c>
      <c r="B26" s="23" t="s">
        <v>243</v>
      </c>
      <c r="C26" s="153">
        <v>161.66666666666666</v>
      </c>
      <c r="D26" s="153">
        <v>323.3333333333333</v>
      </c>
      <c r="E26" s="153">
        <v>485.0</v>
      </c>
      <c r="F26" s="153">
        <v>485.0</v>
      </c>
      <c r="G26" s="153">
        <v>485.0</v>
      </c>
      <c r="H26" s="296">
        <v>485.0</v>
      </c>
      <c r="I26" s="296">
        <v>485.0</v>
      </c>
      <c r="J26" s="296">
        <v>485.0</v>
      </c>
      <c r="K26" s="296">
        <v>485.0</v>
      </c>
      <c r="L26" s="296">
        <v>485.0</v>
      </c>
      <c r="M26" s="296">
        <v>485.0</v>
      </c>
      <c r="N26" s="296">
        <v>485.0</v>
      </c>
      <c r="O26" s="296">
        <v>485.0</v>
      </c>
    </row>
    <row r="27" spans="8:8">
      <c r="A27" s="31" t="s">
        <v>490</v>
      </c>
      <c r="B27" s="23" t="s">
        <v>36</v>
      </c>
      <c r="C27" s="153">
        <f>C26*309.77</f>
        <v>50079.48333333333</v>
      </c>
      <c r="D27" s="153">
        <f t="shared" si="5" ref="D27:N27">D26*309.77</f>
        <v>100158.96666666666</v>
      </c>
      <c r="E27" s="153">
        <f t="shared" si="5"/>
        <v>150238.44999999998</v>
      </c>
      <c r="F27" s="153">
        <f t="shared" si="5"/>
        <v>150238.44999999998</v>
      </c>
      <c r="G27" s="153">
        <f t="shared" si="5"/>
        <v>150238.44999999998</v>
      </c>
      <c r="H27" s="153">
        <f t="shared" si="5"/>
        <v>150238.44999999998</v>
      </c>
      <c r="I27" s="153">
        <f t="shared" si="5"/>
        <v>150238.44999999998</v>
      </c>
      <c r="J27" s="153">
        <f t="shared" si="5"/>
        <v>150238.44999999998</v>
      </c>
      <c r="K27" s="153">
        <f t="shared" si="5"/>
        <v>150238.44999999998</v>
      </c>
      <c r="L27" s="153">
        <f t="shared" si="5"/>
        <v>150238.44999999998</v>
      </c>
      <c r="M27" s="153">
        <f t="shared" si="5"/>
        <v>150238.44999999998</v>
      </c>
      <c r="N27" s="153">
        <f t="shared" si="5"/>
        <v>150238.44999999998</v>
      </c>
      <c r="O27" s="153">
        <f>O26*309.77</f>
        <v>150238.44999999998</v>
      </c>
    </row>
    <row r="28" spans="8:8">
      <c r="A28" s="23" t="s">
        <v>329</v>
      </c>
      <c r="B28" s="23" t="s">
        <v>36</v>
      </c>
      <c r="C28" s="153">
        <v>4000.0</v>
      </c>
      <c r="D28" s="153">
        <v>10000.0</v>
      </c>
      <c r="E28" s="153">
        <v>10000.0</v>
      </c>
      <c r="F28" s="153">
        <v>10000.0</v>
      </c>
      <c r="G28" s="153">
        <v>10000.0</v>
      </c>
      <c r="H28" s="153">
        <v>10000.0</v>
      </c>
      <c r="I28" s="296">
        <v>20000.0</v>
      </c>
      <c r="J28" s="296">
        <v>40000.0</v>
      </c>
      <c r="K28" s="296">
        <v>40000.0</v>
      </c>
      <c r="L28" s="296">
        <v>40000.0</v>
      </c>
      <c r="M28" s="296">
        <v>40000.0</v>
      </c>
      <c r="N28" s="296">
        <v>40000.0</v>
      </c>
      <c r="O28" s="296">
        <v>40000.0</v>
      </c>
      <c r="AB28" s="76"/>
      <c r="AC28" s="76"/>
      <c r="AD28" s="76"/>
      <c r="AE28" s="76"/>
      <c r="AF28" s="76"/>
    </row>
    <row r="29" spans="8:8">
      <c r="A29" s="95" t="s">
        <v>7</v>
      </c>
      <c r="B29" s="95" t="s">
        <v>36</v>
      </c>
      <c r="C29" s="43">
        <f>C23+C24+C25+C27+C28</f>
        <v>154079.483333333</v>
      </c>
      <c r="D29" s="43">
        <f t="shared" si="6" ref="D29:O29">D23+D24+D25+D27+D28</f>
        <v>114958.966666667</v>
      </c>
      <c r="E29" s="43">
        <f t="shared" si="6"/>
        <v>160238.45</v>
      </c>
      <c r="F29" s="43">
        <f t="shared" si="6"/>
        <v>160238.45</v>
      </c>
      <c r="G29" s="43">
        <f t="shared" si="6"/>
        <v>160238.45</v>
      </c>
      <c r="H29" s="297">
        <f t="shared" si="6"/>
        <v>160238.45</v>
      </c>
      <c r="I29" s="297">
        <f t="shared" si="6"/>
        <v>170238.45</v>
      </c>
      <c r="J29" s="297">
        <f t="shared" si="6"/>
        <v>190238.45</v>
      </c>
      <c r="K29" s="297">
        <f t="shared" si="6"/>
        <v>190238.45</v>
      </c>
      <c r="L29" s="297">
        <f t="shared" si="6"/>
        <v>190238.45</v>
      </c>
      <c r="M29" s="297">
        <f t="shared" si="6"/>
        <v>190238.45</v>
      </c>
      <c r="N29" s="297">
        <f t="shared" si="6"/>
        <v>190238.45</v>
      </c>
      <c r="O29" s="297">
        <f t="shared" si="6"/>
        <v>190238.45</v>
      </c>
      <c r="AB29" s="76"/>
      <c r="AC29" s="76"/>
      <c r="AD29" s="76"/>
      <c r="AE29" s="76"/>
      <c r="AF29" s="76"/>
    </row>
    <row r="30" spans="8:8">
      <c r="A30" s="45" t="s">
        <v>13</v>
      </c>
      <c r="B30" s="45" t="s">
        <v>36</v>
      </c>
      <c r="C30" s="46">
        <f>C29+C20</f>
        <v>525329.4833333329</v>
      </c>
      <c r="D30" s="46">
        <f t="shared" si="7" ref="D30:O30">D29+D20</f>
        <v>231208.966666667</v>
      </c>
      <c r="E30" s="46">
        <f t="shared" si="7"/>
        <v>283988.45</v>
      </c>
      <c r="F30" s="46">
        <f t="shared" si="7"/>
        <v>283988.45</v>
      </c>
      <c r="G30" s="46">
        <f t="shared" si="7"/>
        <v>283988.45</v>
      </c>
      <c r="H30" s="298">
        <f t="shared" si="7"/>
        <v>362738.45</v>
      </c>
      <c r="I30" s="298">
        <f t="shared" si="7"/>
        <v>550238.45</v>
      </c>
      <c r="J30" s="298">
        <f t="shared" si="7"/>
        <v>655988.45</v>
      </c>
      <c r="K30" s="298">
        <f t="shared" si="7"/>
        <v>858738.45</v>
      </c>
      <c r="L30" s="298">
        <f t="shared" si="7"/>
        <v>1183238.45</v>
      </c>
      <c r="M30" s="298">
        <f t="shared" si="7"/>
        <v>1183238.45</v>
      </c>
      <c r="N30" s="298">
        <f t="shared" si="7"/>
        <v>1026488.45</v>
      </c>
      <c r="O30" s="298">
        <f t="shared" si="7"/>
        <v>794738.45</v>
      </c>
      <c r="AB30" s="76"/>
      <c r="AC30" s="76"/>
      <c r="AD30" s="76"/>
      <c r="AE30" s="76"/>
      <c r="AF30" s="76"/>
    </row>
    <row r="31" spans="8:8">
      <c r="A31" s="23"/>
      <c r="B31" s="23"/>
      <c r="C31" s="153"/>
      <c r="D31" s="153"/>
      <c r="E31" s="153"/>
      <c r="F31" s="153"/>
      <c r="G31" s="153"/>
      <c r="H31" s="296"/>
      <c r="I31" s="296"/>
      <c r="J31" s="296"/>
      <c r="K31" s="296"/>
      <c r="L31" s="296"/>
      <c r="M31" s="296"/>
      <c r="N31" s="296"/>
      <c r="O31" s="296"/>
      <c r="AB31" s="76"/>
      <c r="AC31" s="76"/>
      <c r="AD31" s="76"/>
      <c r="AE31" s="76"/>
      <c r="AF31" s="76"/>
    </row>
    <row r="32" spans="8:8">
      <c r="A32" s="95" t="s">
        <v>18</v>
      </c>
      <c r="B32" s="95"/>
      <c r="C32" s="153"/>
      <c r="D32" s="153"/>
      <c r="E32" s="153"/>
      <c r="F32" s="153"/>
      <c r="G32" s="153"/>
      <c r="H32" s="296"/>
      <c r="I32" s="296"/>
      <c r="J32" s="296"/>
      <c r="K32" s="296"/>
      <c r="L32" s="296"/>
      <c r="M32" s="296"/>
      <c r="N32" s="296"/>
      <c r="O32" s="296"/>
      <c r="AB32" s="76"/>
      <c r="AC32" s="76"/>
      <c r="AD32" s="76"/>
      <c r="AE32" s="76"/>
      <c r="AF32" s="76"/>
    </row>
    <row r="33" spans="8:8" ht="24.0">
      <c r="A33" s="99" t="s">
        <v>330</v>
      </c>
      <c r="B33" s="95"/>
      <c r="C33" s="153"/>
      <c r="D33" s="153"/>
      <c r="E33" s="153"/>
      <c r="F33" s="153"/>
      <c r="G33" s="153"/>
      <c r="H33" s="296">
        <v>300.0</v>
      </c>
      <c r="I33" s="296">
        <v>800.0</v>
      </c>
      <c r="J33" s="296">
        <v>1020.0</v>
      </c>
      <c r="K33" s="296">
        <v>1360.0</v>
      </c>
      <c r="L33" s="296">
        <v>1530.0</v>
      </c>
      <c r="M33" s="296">
        <v>1530.0</v>
      </c>
      <c r="N33" s="296">
        <v>1275.0</v>
      </c>
      <c r="O33" s="296">
        <v>1020.0</v>
      </c>
      <c r="AB33" s="76"/>
      <c r="AC33" s="76"/>
      <c r="AD33" s="76"/>
      <c r="AE33" s="76"/>
      <c r="AF33" s="76"/>
    </row>
    <row r="34" spans="8:8">
      <c r="A34" s="23" t="s">
        <v>331</v>
      </c>
      <c r="B34" s="95"/>
      <c r="C34" s="153"/>
      <c r="D34" s="153"/>
      <c r="E34" s="153"/>
      <c r="F34" s="153"/>
      <c r="G34" s="153"/>
      <c r="H34" s="296">
        <v>1.0</v>
      </c>
      <c r="I34" s="296">
        <v>2.0</v>
      </c>
      <c r="J34" s="296">
        <v>2.0</v>
      </c>
      <c r="K34" s="296">
        <v>2.0</v>
      </c>
      <c r="L34" s="296">
        <v>3.0</v>
      </c>
      <c r="M34" s="296">
        <v>3.0</v>
      </c>
      <c r="N34" s="296">
        <v>3.0</v>
      </c>
      <c r="O34" s="296">
        <v>3.0</v>
      </c>
    </row>
    <row r="35" spans="8:8">
      <c r="A35" s="23" t="s">
        <v>332</v>
      </c>
      <c r="B35" s="95"/>
      <c r="C35" s="153"/>
      <c r="D35" s="153"/>
      <c r="E35" s="153"/>
      <c r="F35" s="153"/>
      <c r="G35" s="153"/>
      <c r="H35" s="296">
        <v>100.0</v>
      </c>
      <c r="I35" s="296">
        <v>100.0</v>
      </c>
      <c r="J35" s="296">
        <v>150.0</v>
      </c>
      <c r="K35" s="296">
        <v>200.0</v>
      </c>
      <c r="L35" s="296">
        <v>200.0</v>
      </c>
      <c r="M35" s="296">
        <v>200.0</v>
      </c>
      <c r="N35" s="296">
        <v>200.0</v>
      </c>
      <c r="O35" s="296">
        <v>150.0</v>
      </c>
    </row>
    <row r="36" spans="8:8" ht="24.0">
      <c r="A36" s="99" t="s">
        <v>333</v>
      </c>
      <c r="B36" s="23" t="s">
        <v>196</v>
      </c>
      <c r="C36" s="153"/>
      <c r="D36" s="153"/>
      <c r="E36" s="153"/>
      <c r="F36" s="153"/>
      <c r="G36" s="43"/>
      <c r="H36" s="296">
        <v>150.0</v>
      </c>
      <c r="I36" s="296">
        <v>800.0</v>
      </c>
      <c r="J36" s="296">
        <v>1530.0</v>
      </c>
      <c r="K36" s="296">
        <v>2720.0</v>
      </c>
      <c r="L36" s="296">
        <v>4590.0</v>
      </c>
      <c r="M36" s="296">
        <v>4590.0</v>
      </c>
      <c r="N36" s="296">
        <v>3825.0</v>
      </c>
      <c r="O36" s="296">
        <v>2295.0</v>
      </c>
    </row>
    <row r="37" spans="8:8" ht="36.0">
      <c r="A37" s="52" t="s">
        <v>502</v>
      </c>
      <c r="B37" s="53" t="s">
        <v>49</v>
      </c>
      <c r="C37" s="54"/>
      <c r="D37" s="54"/>
      <c r="E37" s="54"/>
      <c r="F37" s="54"/>
      <c r="G37" s="54"/>
      <c r="H37" s="299">
        <f>H36*584.44</f>
        <v>87666.00000000001</v>
      </c>
      <c r="I37" s="299">
        <f t="shared" si="8" ref="I37:N37">I36*584.44</f>
        <v>467552.00000000006</v>
      </c>
      <c r="J37" s="299">
        <f t="shared" si="8"/>
        <v>894193.2000000001</v>
      </c>
      <c r="K37" s="299">
        <f t="shared" si="8"/>
        <v>1589676.8</v>
      </c>
      <c r="L37" s="299">
        <f>L36*584.44</f>
        <v>2682579.6</v>
      </c>
      <c r="M37" s="299">
        <f t="shared" si="8"/>
        <v>2682579.6</v>
      </c>
      <c r="N37" s="299">
        <f t="shared" si="8"/>
        <v>2235483.0</v>
      </c>
      <c r="O37" s="299">
        <f>O36*584.44</f>
        <v>1341289.8</v>
      </c>
    </row>
    <row r="38" spans="8:8" s="300" customFormat="1">
      <c r="A38" s="301" t="s">
        <v>246</v>
      </c>
      <c r="B38" s="301" t="s">
        <v>36</v>
      </c>
      <c r="C38" s="302">
        <f>C37-C30</f>
        <v>-525329.483333333</v>
      </c>
      <c r="D38" s="302">
        <f t="shared" si="9" ref="D38:L38">D37-D30</f>
        <v>-231208.966666667</v>
      </c>
      <c r="E38" s="302">
        <f t="shared" si="9"/>
        <v>-283988.45</v>
      </c>
      <c r="F38" s="302">
        <f t="shared" si="9"/>
        <v>-283988.45</v>
      </c>
      <c r="G38" s="302">
        <f t="shared" si="9"/>
        <v>-283988.45</v>
      </c>
      <c r="H38" s="302">
        <f t="shared" si="9"/>
        <v>-275072.45</v>
      </c>
      <c r="I38" s="302">
        <f t="shared" si="9"/>
        <v>-82686.44999999995</v>
      </c>
      <c r="J38" s="302">
        <f t="shared" si="9"/>
        <v>238204.75</v>
      </c>
      <c r="K38" s="302">
        <f t="shared" si="9"/>
        <v>730938.3500000001</v>
      </c>
      <c r="L38" s="303">
        <f t="shared" si="9"/>
        <v>1499341.1500000001</v>
      </c>
      <c r="M38" s="303">
        <f>M37-M30</f>
        <v>1499341.1500000001</v>
      </c>
      <c r="N38" s="303">
        <f t="shared" si="10" ref="N38:O38">N37-N30</f>
        <v>1208994.55</v>
      </c>
      <c r="O38" s="303">
        <f t="shared" si="10"/>
        <v>546551.3500000001</v>
      </c>
      <c r="P38" s="85"/>
      <c r="Q38" s="176"/>
      <c r="R38" s="176"/>
      <c r="S38" s="176"/>
      <c r="T38" s="176"/>
      <c r="U38" s="176"/>
      <c r="V38" s="176"/>
      <c r="W38" s="176"/>
      <c r="X38" s="176"/>
      <c r="Y38" s="176"/>
      <c r="Z38" s="176"/>
    </row>
    <row r="39" spans="8:8" s="304" ht="24.0" customFormat="1" customHeight="1">
      <c r="A39" s="305" t="s">
        <v>466</v>
      </c>
      <c r="B39" s="306" t="s">
        <v>456</v>
      </c>
      <c r="C39" s="307"/>
      <c r="D39" s="307"/>
      <c r="E39" s="307"/>
      <c r="F39" s="307"/>
      <c r="G39" s="307"/>
      <c r="H39" s="308"/>
      <c r="I39" s="308"/>
      <c r="J39" s="308"/>
      <c r="K39" s="308"/>
      <c r="L39" s="308">
        <f>L30/L36</f>
        <v>257.78615468409583</v>
      </c>
      <c r="M39" s="308"/>
      <c r="N39" s="308"/>
      <c r="O39" s="309"/>
      <c r="P39" s="310"/>
      <c r="Q39" s="311"/>
      <c r="R39" s="311"/>
      <c r="S39" s="311"/>
      <c r="T39" s="311"/>
      <c r="U39" s="311"/>
      <c r="V39" s="311"/>
      <c r="W39" s="311"/>
      <c r="X39" s="311"/>
      <c r="Y39" s="311"/>
      <c r="Z39" s="311"/>
    </row>
    <row r="40" spans="8:8">
      <c r="C40" s="159"/>
      <c r="D40" s="159"/>
      <c r="E40" s="159"/>
      <c r="F40" s="159"/>
      <c r="G40" s="159"/>
      <c r="H40" s="312"/>
      <c r="I40" s="312"/>
      <c r="J40" s="312"/>
      <c r="K40" s="312"/>
      <c r="L40" s="313"/>
      <c r="M40" s="313"/>
      <c r="N40" s="312"/>
      <c r="O40" s="312"/>
    </row>
    <row r="41" spans="8:8">
      <c r="A41" s="66" t="s">
        <v>509</v>
      </c>
      <c r="C41" s="159"/>
      <c r="D41" s="159"/>
      <c r="E41" s="159"/>
      <c r="F41" s="159"/>
      <c r="G41" s="159"/>
      <c r="H41" s="312"/>
      <c r="I41" s="312"/>
      <c r="J41" s="312"/>
      <c r="K41" s="312"/>
      <c r="L41" s="313"/>
      <c r="M41" s="313"/>
      <c r="N41" s="312"/>
      <c r="O41" s="312"/>
    </row>
    <row r="42" spans="8:8">
      <c r="L42" s="313"/>
      <c r="M42" s="314"/>
      <c r="N42" s="312"/>
    </row>
    <row r="43" spans="8:8">
      <c r="L43" s="313"/>
      <c r="M43" s="314"/>
      <c r="N43" s="312"/>
    </row>
    <row r="44" spans="8:8">
      <c r="A44" s="66" t="s">
        <v>334</v>
      </c>
      <c r="L44" s="313"/>
      <c r="N44" s="312"/>
    </row>
    <row r="45" spans="8:8">
      <c r="A45" s="66" t="s">
        <v>335</v>
      </c>
    </row>
    <row r="46" spans="8:8">
      <c r="A46" s="66" t="s">
        <v>336</v>
      </c>
    </row>
    <row r="50" spans="8:8">
      <c r="A50" s="36" t="s">
        <v>97</v>
      </c>
    </row>
    <row r="51" spans="8:8">
      <c r="A51" s="36" t="s">
        <v>199</v>
      </c>
    </row>
    <row r="52" spans="8:8">
      <c r="A52" s="66" t="s">
        <v>407</v>
      </c>
      <c r="B52" s="61"/>
      <c r="C52" s="2"/>
      <c r="D52" s="2"/>
      <c r="E52" s="2"/>
      <c r="F52" s="2"/>
      <c r="G52" s="61"/>
      <c r="H52" s="2"/>
    </row>
    <row r="53" spans="8:8">
      <c r="A53" s="181" t="s">
        <v>437</v>
      </c>
      <c r="B53" s="181"/>
      <c r="C53" s="181"/>
      <c r="D53" s="181"/>
      <c r="E53" s="181"/>
      <c r="F53" s="181"/>
      <c r="G53" s="181"/>
    </row>
    <row r="54" spans="8:8">
      <c r="A54" s="181" t="s">
        <v>464</v>
      </c>
      <c r="B54" s="181"/>
      <c r="C54" s="181"/>
      <c r="D54" s="181"/>
      <c r="E54" s="181"/>
      <c r="F54" s="181"/>
      <c r="G54" s="181"/>
    </row>
    <row r="55" spans="8:8">
      <c r="A55" s="66" t="s">
        <v>438</v>
      </c>
    </row>
    <row r="56" spans="8:8">
      <c r="A56" s="66" t="s">
        <v>337</v>
      </c>
    </row>
    <row r="57" spans="8:8" s="5" customFormat="1">
      <c r="A57" s="5" t="s">
        <v>420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46"/>
      <c r="R57" s="181"/>
      <c r="S57" s="181"/>
      <c r="T57" s="181"/>
      <c r="U57" s="181"/>
      <c r="V57" s="181"/>
    </row>
  </sheetData>
  <mergeCells count="1">
    <mergeCell ref="A1:O1"/>
  </mergeCells>
  <pageMargins left="0.7" right="0.7" top="0.75" bottom="0.75" header="0.3" footer="0.3"/>
  <pageSetup paperSize="9" scale="82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Neat Lanka,Kandy</Company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Neat</dc:creator>
  <cp:lastModifiedBy>DELL</cp:lastModifiedBy>
  <dcterms:created xsi:type="dcterms:W3CDTF">2005-12-26T03:29:14Z</dcterms:created>
  <dcterms:modified xsi:type="dcterms:W3CDTF">2024-08-02T05:35:44Z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4a9be91dc8a6421888b219ff60f2612c</vt:lpwstr>
  </property>
</Properties>
</file>